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A:\Syn\Financials\Investment Deck\Financial Model\"/>
    </mc:Choice>
  </mc:AlternateContent>
  <xr:revisionPtr revIDLastSave="0" documentId="13_ncr:1_{FA738C42-BBAA-4897-94BB-F7C8BF24C996}" xr6:coauthVersionLast="47" xr6:coauthVersionMax="47" xr10:uidLastSave="{00000000-0000-0000-0000-000000000000}"/>
  <workbookProtection workbookAlgorithmName="SHA-512" workbookHashValue="yLlgG851ClNj+BMHZGdDYKqU5qiRGd1lP21f1mUiylhK3v+WDTQsJVlyeqqc5L6pUNrUcVLPaxTUBdDh53kpxQ==" workbookSaltValue="b87PAj0s3P0rZZNr4n3HqQ==" workbookSpinCount="100000" lockStructure="1"/>
  <bookViews>
    <workbookView xWindow="-110" yWindow="-110" windowWidth="19420" windowHeight="10300" xr2:uid="{00000000-000D-0000-FFFF-FFFF00000000}"/>
  </bookViews>
  <sheets>
    <sheet name="Financials" sheetId="16" r:id="rId1"/>
    <sheet name=" TAM &amp; SOM" sheetId="6" r:id="rId2"/>
    <sheet name="M.Shars" sheetId="15" r:id="rId3"/>
    <sheet name="SOM M.Shares &amp; Rev" sheetId="11" state="hidden" r:id="rId4"/>
    <sheet name="M.Shares &amp; Revenue" sheetId="3" state="hidden" r:id="rId5"/>
    <sheet name="Mrkting &amp; BD" sheetId="12" r:id="rId6"/>
    <sheet name="CA&amp;OP-EX" sheetId="13" r:id="rId7"/>
    <sheet name="Aus Market" sheetId="1" state="hidden" r:id="rId8"/>
    <sheet name="Global Market" sheetId="2" r:id="rId9"/>
    <sheet name="Manpower" sheetId="7" state="hidden" r:id="rId10"/>
    <sheet name="ESG" sheetId="9" state="hidden" r:id="rId11"/>
    <sheet name="Conversions" sheetId="4" state="hidden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9" l="1"/>
  <c r="M23" i="16"/>
  <c r="C24" i="16"/>
  <c r="L1" i="16"/>
  <c r="M1" i="16" s="1"/>
  <c r="W3" i="16"/>
  <c r="K3" i="16"/>
  <c r="T4" i="16"/>
  <c r="X3" i="16" s="1"/>
  <c r="L10" i="16"/>
  <c r="L11" i="16"/>
  <c r="L12" i="16"/>
  <c r="L13" i="16"/>
  <c r="L14" i="16"/>
  <c r="K15" i="16"/>
  <c r="L15" i="16"/>
  <c r="K16" i="16"/>
  <c r="L16" i="16"/>
  <c r="M17" i="16"/>
  <c r="M18" i="16"/>
  <c r="L20" i="16"/>
  <c r="L27" i="16"/>
  <c r="M27" i="16"/>
  <c r="N27" i="16"/>
  <c r="O27" i="16"/>
  <c r="P27" i="16"/>
  <c r="Q27" i="16"/>
  <c r="R27" i="16"/>
  <c r="L28" i="16"/>
  <c r="L29" i="16"/>
  <c r="M29" i="16" s="1"/>
  <c r="L30" i="16"/>
  <c r="L34" i="16" s="1"/>
  <c r="M30" i="16"/>
  <c r="N30" i="16" s="1"/>
  <c r="O30" i="16" s="1"/>
  <c r="P30" i="16" s="1"/>
  <c r="Q30" i="16" s="1"/>
  <c r="R30" i="16" s="1"/>
  <c r="L31" i="16"/>
  <c r="M31" i="16"/>
  <c r="N31" i="16"/>
  <c r="O31" i="16" s="1"/>
  <c r="P31" i="16" s="1"/>
  <c r="Q31" i="16" s="1"/>
  <c r="R31" i="16" s="1"/>
  <c r="L32" i="16"/>
  <c r="M32" i="16"/>
  <c r="N32" i="16"/>
  <c r="O32" i="16" s="1"/>
  <c r="P32" i="16" s="1"/>
  <c r="Q32" i="16" s="1"/>
  <c r="R32" i="16" s="1"/>
  <c r="M70" i="16"/>
  <c r="O70" i="16"/>
  <c r="M74" i="16"/>
  <c r="M75" i="16"/>
  <c r="S23" i="13"/>
  <c r="F15" i="13"/>
  <c r="S3" i="13"/>
  <c r="S5" i="13"/>
  <c r="B10" i="13"/>
  <c r="B6" i="13"/>
  <c r="B11" i="13"/>
  <c r="AD106" i="15"/>
  <c r="AB107" i="15"/>
  <c r="AD107" i="15"/>
  <c r="AE107" i="15"/>
  <c r="AG107" i="15"/>
  <c r="AD108" i="15"/>
  <c r="V109" i="15"/>
  <c r="AB109" i="15"/>
  <c r="AD109" i="15"/>
  <c r="AE109" i="15"/>
  <c r="U121" i="15" s="1"/>
  <c r="AG109" i="15"/>
  <c r="V110" i="15"/>
  <c r="AB110" i="15"/>
  <c r="AD110" i="15"/>
  <c r="AE110" i="15"/>
  <c r="AG110" i="15"/>
  <c r="V111" i="15"/>
  <c r="AB111" i="15"/>
  <c r="AD111" i="15"/>
  <c r="AE111" i="15"/>
  <c r="AG111" i="15" s="1"/>
  <c r="V112" i="15"/>
  <c r="AB112" i="15"/>
  <c r="AD112" i="15"/>
  <c r="AE112" i="15"/>
  <c r="AG112" i="15" s="1"/>
  <c r="V113" i="15"/>
  <c r="AB113" i="15"/>
  <c r="AD113" i="15"/>
  <c r="AE113" i="15"/>
  <c r="U125" i="15" s="1"/>
  <c r="AG113" i="15"/>
  <c r="V118" i="15"/>
  <c r="AD118" i="15"/>
  <c r="T119" i="15"/>
  <c r="U119" i="15"/>
  <c r="V119" i="15"/>
  <c r="W119" i="15"/>
  <c r="Y119" i="15"/>
  <c r="AB119" i="15"/>
  <c r="AD119" i="15"/>
  <c r="AE119" i="15"/>
  <c r="AC119" i="15" s="1"/>
  <c r="AG119" i="15"/>
  <c r="V120" i="15"/>
  <c r="AD120" i="15"/>
  <c r="T121" i="15"/>
  <c r="V121" i="15"/>
  <c r="W121" i="15"/>
  <c r="Y121" i="15"/>
  <c r="AB121" i="15"/>
  <c r="AC121" i="15"/>
  <c r="AD121" i="15"/>
  <c r="AE121" i="15"/>
  <c r="AG121" i="15" s="1"/>
  <c r="T122" i="15"/>
  <c r="U122" i="15"/>
  <c r="V122" i="15"/>
  <c r="W122" i="15"/>
  <c r="Y122" i="15"/>
  <c r="AB122" i="15"/>
  <c r="AD122" i="15"/>
  <c r="AE122" i="15"/>
  <c r="AC122" i="15" s="1"/>
  <c r="AG122" i="15"/>
  <c r="T123" i="15"/>
  <c r="U123" i="15"/>
  <c r="V123" i="15"/>
  <c r="W123" i="15"/>
  <c r="Y123" i="15"/>
  <c r="AB123" i="15"/>
  <c r="AD123" i="15"/>
  <c r="AE123" i="15"/>
  <c r="AC123" i="15" s="1"/>
  <c r="AG123" i="15"/>
  <c r="T124" i="15"/>
  <c r="U124" i="15"/>
  <c r="V124" i="15"/>
  <c r="W124" i="15"/>
  <c r="Y124" i="15"/>
  <c r="AB124" i="15"/>
  <c r="AD124" i="15"/>
  <c r="AE124" i="15"/>
  <c r="U136" i="15" s="1"/>
  <c r="AG124" i="15"/>
  <c r="T125" i="15"/>
  <c r="V125" i="15"/>
  <c r="W125" i="15"/>
  <c r="Y125" i="15"/>
  <c r="AB125" i="15"/>
  <c r="AC125" i="15"/>
  <c r="AD125" i="15"/>
  <c r="AE125" i="15"/>
  <c r="AG125" i="15" s="1"/>
  <c r="V126" i="15"/>
  <c r="AD126" i="15"/>
  <c r="V130" i="15"/>
  <c r="AD130" i="15"/>
  <c r="T131" i="15"/>
  <c r="V131" i="15"/>
  <c r="W131" i="15"/>
  <c r="U131" i="15" s="1"/>
  <c r="Y131" i="15"/>
  <c r="AB131" i="15"/>
  <c r="AD131" i="15"/>
  <c r="AE131" i="15"/>
  <c r="AF131" i="15"/>
  <c r="AG131" i="15"/>
  <c r="V132" i="15"/>
  <c r="AD132" i="15"/>
  <c r="AF132" i="15"/>
  <c r="T133" i="15"/>
  <c r="U133" i="15"/>
  <c r="V133" i="15"/>
  <c r="W133" i="15"/>
  <c r="Y133" i="15"/>
  <c r="AB133" i="15"/>
  <c r="AC133" i="15"/>
  <c r="AD133" i="15"/>
  <c r="AE133" i="15"/>
  <c r="AF133" i="15"/>
  <c r="AG133" i="15"/>
  <c r="T134" i="15"/>
  <c r="U134" i="15"/>
  <c r="V134" i="15"/>
  <c r="W134" i="15"/>
  <c r="Y134" i="15"/>
  <c r="AB134" i="15"/>
  <c r="AC134" i="15"/>
  <c r="AD134" i="15"/>
  <c r="AE134" i="15"/>
  <c r="AF134" i="15"/>
  <c r="AF135" i="15" s="1"/>
  <c r="AG134" i="15"/>
  <c r="T135" i="15"/>
  <c r="V135" i="15"/>
  <c r="W135" i="15"/>
  <c r="U135" i="15" s="1"/>
  <c r="Y135" i="15"/>
  <c r="AB135" i="15"/>
  <c r="AC135" i="15"/>
  <c r="AD135" i="15"/>
  <c r="AE135" i="15"/>
  <c r="T136" i="15"/>
  <c r="V136" i="15"/>
  <c r="W136" i="15"/>
  <c r="Y136" i="15"/>
  <c r="AB136" i="15"/>
  <c r="AD136" i="15"/>
  <c r="AE136" i="15"/>
  <c r="AC136" i="15" s="1"/>
  <c r="T137" i="15"/>
  <c r="U137" i="15"/>
  <c r="V137" i="15"/>
  <c r="W137" i="15"/>
  <c r="Y137" i="15" s="1"/>
  <c r="AB137" i="15"/>
  <c r="AC137" i="15"/>
  <c r="AD137" i="15"/>
  <c r="AE137" i="15"/>
  <c r="V142" i="15"/>
  <c r="T143" i="15"/>
  <c r="V143" i="15"/>
  <c r="W143" i="15"/>
  <c r="U143" i="15" s="1"/>
  <c r="X143" i="15"/>
  <c r="Y143" i="15"/>
  <c r="V144" i="15"/>
  <c r="X144" i="15"/>
  <c r="T145" i="15"/>
  <c r="V145" i="15"/>
  <c r="W145" i="15"/>
  <c r="Y145" i="15" s="1"/>
  <c r="X145" i="15"/>
  <c r="T146" i="15"/>
  <c r="U146" i="15"/>
  <c r="V146" i="15"/>
  <c r="W146" i="15"/>
  <c r="X146" i="15"/>
  <c r="Y146" i="15"/>
  <c r="T147" i="15"/>
  <c r="V147" i="15"/>
  <c r="W147" i="15"/>
  <c r="U147" i="15" s="1"/>
  <c r="X147" i="15"/>
  <c r="X148" i="15" s="1"/>
  <c r="Y147" i="15"/>
  <c r="T148" i="15"/>
  <c r="U148" i="15"/>
  <c r="V148" i="15"/>
  <c r="W148" i="15"/>
  <c r="T149" i="15"/>
  <c r="V149" i="15"/>
  <c r="W149" i="15"/>
  <c r="U149" i="15" s="1"/>
  <c r="W24" i="13"/>
  <c r="Y23" i="13"/>
  <c r="Y22" i="13"/>
  <c r="Z21" i="13"/>
  <c r="U21" i="13"/>
  <c r="Y21" i="13" s="1"/>
  <c r="Z20" i="13"/>
  <c r="Y20" i="13"/>
  <c r="Z19" i="13"/>
  <c r="Y19" i="13"/>
  <c r="Z18" i="13"/>
  <c r="Y18" i="13"/>
  <c r="Z17" i="13"/>
  <c r="Y17" i="13"/>
  <c r="Z16" i="13"/>
  <c r="Y16" i="13"/>
  <c r="Z15" i="13"/>
  <c r="Y15" i="13"/>
  <c r="Z14" i="13"/>
  <c r="Y14" i="13"/>
  <c r="Z13" i="13"/>
  <c r="Y13" i="13"/>
  <c r="Z12" i="13"/>
  <c r="Y12" i="13"/>
  <c r="Z11" i="13"/>
  <c r="Y11" i="13"/>
  <c r="Z10" i="13"/>
  <c r="Y10" i="13"/>
  <c r="Z9" i="13"/>
  <c r="Y9" i="13"/>
  <c r="Z8" i="13"/>
  <c r="Y8" i="13"/>
  <c r="Z7" i="13"/>
  <c r="Y7" i="13"/>
  <c r="Z6" i="13"/>
  <c r="Y6" i="13"/>
  <c r="Z5" i="13"/>
  <c r="Y5" i="13"/>
  <c r="Z4" i="13"/>
  <c r="Y4" i="13"/>
  <c r="Z3" i="13"/>
  <c r="Y3" i="13"/>
  <c r="U79" i="15"/>
  <c r="AC79" i="15" s="1"/>
  <c r="U92" i="15" s="1"/>
  <c r="U67" i="15"/>
  <c r="AC67" i="15" s="1"/>
  <c r="U80" i="15" s="1"/>
  <c r="AC80" i="15" s="1"/>
  <c r="U93" i="15" s="1"/>
  <c r="U68" i="15"/>
  <c r="AC68" i="15" s="1"/>
  <c r="U81" i="15" s="1"/>
  <c r="AC81" i="15" s="1"/>
  <c r="U94" i="15" s="1"/>
  <c r="U66" i="15"/>
  <c r="AC66" i="15" s="1"/>
  <c r="AC56" i="15"/>
  <c r="U69" i="15" s="1"/>
  <c r="AC69" i="15" s="1"/>
  <c r="U82" i="15" s="1"/>
  <c r="AC82" i="15" s="1"/>
  <c r="U95" i="15" s="1"/>
  <c r="AB72" i="15"/>
  <c r="AB73" i="15"/>
  <c r="L68" i="15"/>
  <c r="AB68" i="15" s="1"/>
  <c r="L69" i="15"/>
  <c r="AB69" i="15" s="1"/>
  <c r="L70" i="15"/>
  <c r="AB70" i="15" s="1"/>
  <c r="L71" i="15"/>
  <c r="AB71" i="15" s="1"/>
  <c r="L72" i="15"/>
  <c r="L73" i="15"/>
  <c r="T18" i="15"/>
  <c r="T19" i="15"/>
  <c r="T20" i="15"/>
  <c r="T21" i="15"/>
  <c r="T22" i="15"/>
  <c r="T23" i="15"/>
  <c r="T17" i="15"/>
  <c r="AC55" i="15"/>
  <c r="AC57" i="15"/>
  <c r="U70" i="15" s="1"/>
  <c r="AC70" i="15" s="1"/>
  <c r="U83" i="15" s="1"/>
  <c r="AC83" i="15" s="1"/>
  <c r="U96" i="15" s="1"/>
  <c r="AC58" i="15"/>
  <c r="U71" i="15" s="1"/>
  <c r="AC71" i="15" s="1"/>
  <c r="U84" i="15" s="1"/>
  <c r="AC84" i="15" s="1"/>
  <c r="U97" i="15" s="1"/>
  <c r="AC59" i="15"/>
  <c r="U72" i="15" s="1"/>
  <c r="AC72" i="15" s="1"/>
  <c r="U85" i="15" s="1"/>
  <c r="AC85" i="15" s="1"/>
  <c r="U98" i="15" s="1"/>
  <c r="AC60" i="15"/>
  <c r="U73" i="15" s="1"/>
  <c r="AC73" i="15" s="1"/>
  <c r="U86" i="15" s="1"/>
  <c r="AC86" i="15" s="1"/>
  <c r="U99" i="15" s="1"/>
  <c r="AC54" i="15"/>
  <c r="X96" i="15"/>
  <c r="X73" i="15"/>
  <c r="AF73" i="15" s="1"/>
  <c r="X72" i="15"/>
  <c r="AF72" i="15" s="1"/>
  <c r="X85" i="15" s="1"/>
  <c r="X71" i="15"/>
  <c r="AF71" i="15" s="1"/>
  <c r="X84" i="15" s="1"/>
  <c r="AF84" i="15" s="1"/>
  <c r="X70" i="15"/>
  <c r="AF70" i="15" s="1"/>
  <c r="X83" i="15" s="1"/>
  <c r="X69" i="15"/>
  <c r="AF69" i="15" s="1"/>
  <c r="X68" i="15"/>
  <c r="AF68" i="15" s="1"/>
  <c r="X67" i="15"/>
  <c r="AF67" i="15" s="1"/>
  <c r="X80" i="15" s="1"/>
  <c r="U62" i="15"/>
  <c r="F53" i="15"/>
  <c r="V53" i="15" s="1"/>
  <c r="AD53" i="15" s="1"/>
  <c r="M53" i="15"/>
  <c r="E66" i="15" s="1"/>
  <c r="M66" i="15" s="1"/>
  <c r="E67" i="15"/>
  <c r="E68" i="15"/>
  <c r="L9" i="13"/>
  <c r="J9" i="13"/>
  <c r="B14" i="13"/>
  <c r="D14" i="13" s="1"/>
  <c r="J19" i="13"/>
  <c r="B12" i="13" s="1"/>
  <c r="K19" i="13"/>
  <c r="E31" i="12"/>
  <c r="F31" i="12" s="1"/>
  <c r="G31" i="12" s="1"/>
  <c r="H31" i="12" s="1"/>
  <c r="I31" i="12" s="1"/>
  <c r="D31" i="12"/>
  <c r="H96" i="15"/>
  <c r="H85" i="15"/>
  <c r="P72" i="15"/>
  <c r="P73" i="15"/>
  <c r="H86" i="15" s="1"/>
  <c r="H67" i="15"/>
  <c r="P67" i="15" s="1"/>
  <c r="H80" i="15" s="1"/>
  <c r="H68" i="15"/>
  <c r="P68" i="15" s="1"/>
  <c r="H81" i="15" s="1"/>
  <c r="H69" i="15"/>
  <c r="P69" i="15" s="1"/>
  <c r="H82" i="15" s="1"/>
  <c r="P82" i="15" s="1"/>
  <c r="H95" i="15" s="1"/>
  <c r="H70" i="15"/>
  <c r="P70" i="15" s="1"/>
  <c r="H83" i="15" s="1"/>
  <c r="H71" i="15"/>
  <c r="P71" i="15" s="1"/>
  <c r="H84" i="15" s="1"/>
  <c r="H72" i="15"/>
  <c r="H73" i="15"/>
  <c r="F23" i="7"/>
  <c r="F22" i="7"/>
  <c r="F21" i="7"/>
  <c r="E22" i="12"/>
  <c r="E19" i="12"/>
  <c r="D3" i="12"/>
  <c r="K7" i="12"/>
  <c r="L25" i="12"/>
  <c r="M54" i="15"/>
  <c r="M55" i="15"/>
  <c r="M56" i="15"/>
  <c r="M57" i="15"/>
  <c r="M58" i="15"/>
  <c r="E71" i="15" s="1"/>
  <c r="M71" i="15" s="1"/>
  <c r="M59" i="15"/>
  <c r="M60" i="15"/>
  <c r="E73" i="15" s="1"/>
  <c r="M73" i="15" s="1"/>
  <c r="E86" i="15" s="1"/>
  <c r="M86" i="15" s="1"/>
  <c r="E99" i="15" s="1"/>
  <c r="Q12" i="2"/>
  <c r="C6" i="6" s="1"/>
  <c r="C8" i="6"/>
  <c r="E62" i="15"/>
  <c r="J41" i="15"/>
  <c r="H39" i="11"/>
  <c r="P39" i="11" s="1"/>
  <c r="C5" i="6"/>
  <c r="D5" i="6"/>
  <c r="AE3" i="2"/>
  <c r="N29" i="16" l="1"/>
  <c r="M33" i="16"/>
  <c r="N1" i="16"/>
  <c r="M3" i="16"/>
  <c r="L33" i="16"/>
  <c r="AG135" i="15"/>
  <c r="AF136" i="15"/>
  <c r="Y148" i="15"/>
  <c r="X149" i="15"/>
  <c r="Y149" i="15" s="1"/>
  <c r="AC124" i="15"/>
  <c r="AC131" i="15"/>
  <c r="U145" i="15"/>
  <c r="M84" i="15"/>
  <c r="E97" i="15" s="1"/>
  <c r="E69" i="15"/>
  <c r="M69" i="15" s="1"/>
  <c r="E82" i="15" s="1"/>
  <c r="M82" i="15" s="1"/>
  <c r="E95" i="15" s="1"/>
  <c r="E84" i="15"/>
  <c r="E72" i="15"/>
  <c r="M72" i="15" s="1"/>
  <c r="E85" i="15" s="1"/>
  <c r="M85" i="15" s="1"/>
  <c r="E98" i="15" s="1"/>
  <c r="E70" i="15"/>
  <c r="M70" i="15" s="1"/>
  <c r="B15" i="13"/>
  <c r="D15" i="13" s="1"/>
  <c r="L19" i="13"/>
  <c r="Y24" i="13"/>
  <c r="Y26" i="13" s="1"/>
  <c r="Z24" i="13"/>
  <c r="Z26" i="13" s="1"/>
  <c r="AC11" i="13"/>
  <c r="AD73" i="15"/>
  <c r="AD70" i="15"/>
  <c r="X97" i="15"/>
  <c r="X81" i="15"/>
  <c r="X86" i="15"/>
  <c r="AD68" i="15"/>
  <c r="AF85" i="15"/>
  <c r="V66" i="15"/>
  <c r="U75" i="15"/>
  <c r="AD69" i="15"/>
  <c r="X82" i="15"/>
  <c r="AC62" i="15"/>
  <c r="V67" i="15"/>
  <c r="AD71" i="15"/>
  <c r="E79" i="15"/>
  <c r="M79" i="15" s="1"/>
  <c r="M67" i="15"/>
  <c r="E80" i="15" s="1"/>
  <c r="M80" i="15" s="1"/>
  <c r="E93" i="15" s="1"/>
  <c r="M68" i="15"/>
  <c r="N39" i="11"/>
  <c r="M62" i="15"/>
  <c r="N33" i="16" l="1"/>
  <c r="O29" i="16"/>
  <c r="N3" i="16"/>
  <c r="O1" i="16"/>
  <c r="AC3" i="13"/>
  <c r="AE11" i="13" s="1"/>
  <c r="B5" i="13"/>
  <c r="AG136" i="15"/>
  <c r="AF137" i="15"/>
  <c r="AG137" i="15" s="1"/>
  <c r="M83" i="15"/>
  <c r="E96" i="15" s="1"/>
  <c r="E83" i="15"/>
  <c r="V83" i="15"/>
  <c r="AE70" i="15"/>
  <c r="AG70" i="15" s="1"/>
  <c r="AE73" i="15"/>
  <c r="AG73" i="15" s="1"/>
  <c r="AF81" i="15"/>
  <c r="V81" i="15"/>
  <c r="AE68" i="15"/>
  <c r="AG68" i="15" s="1"/>
  <c r="AD72" i="15"/>
  <c r="V82" i="15"/>
  <c r="AE69" i="15"/>
  <c r="AG69" i="15" s="1"/>
  <c r="X98" i="15"/>
  <c r="AF82" i="15"/>
  <c r="AC75" i="15"/>
  <c r="V84" i="15"/>
  <c r="AE71" i="15"/>
  <c r="AG71" i="15" s="1"/>
  <c r="AF86" i="15"/>
  <c r="AD66" i="15"/>
  <c r="AD67" i="15"/>
  <c r="E81" i="15"/>
  <c r="M81" i="15" s="1"/>
  <c r="E92" i="15"/>
  <c r="E88" i="15"/>
  <c r="P85" i="15"/>
  <c r="H98" i="15" s="1"/>
  <c r="P81" i="15"/>
  <c r="P84" i="15"/>
  <c r="H97" i="15" s="1"/>
  <c r="E75" i="15"/>
  <c r="P86" i="15"/>
  <c r="H99" i="15" s="1"/>
  <c r="O3" i="16" l="1"/>
  <c r="P1" i="16"/>
  <c r="O33" i="16"/>
  <c r="P29" i="16"/>
  <c r="V86" i="15"/>
  <c r="AD86" i="15" s="1"/>
  <c r="X95" i="15"/>
  <c r="X99" i="15"/>
  <c r="V79" i="15"/>
  <c r="AD81" i="15"/>
  <c r="AD84" i="15"/>
  <c r="AD82" i="15"/>
  <c r="U88" i="15"/>
  <c r="AD83" i="15"/>
  <c r="X94" i="15"/>
  <c r="AF80" i="15"/>
  <c r="V85" i="15"/>
  <c r="AE72" i="15"/>
  <c r="AG72" i="15" s="1"/>
  <c r="V80" i="15"/>
  <c r="E94" i="15"/>
  <c r="E100" i="15" s="1"/>
  <c r="M88" i="15"/>
  <c r="P80" i="15"/>
  <c r="H93" i="15" s="1"/>
  <c r="H94" i="15"/>
  <c r="M75" i="15"/>
  <c r="P33" i="16" l="1"/>
  <c r="Q29" i="16"/>
  <c r="P3" i="16"/>
  <c r="Q1" i="16"/>
  <c r="Q3" i="16" s="1"/>
  <c r="U100" i="15"/>
  <c r="AC88" i="15"/>
  <c r="AD79" i="15"/>
  <c r="X93" i="15"/>
  <c r="V95" i="15"/>
  <c r="AD80" i="15"/>
  <c r="V99" i="15"/>
  <c r="AD85" i="15"/>
  <c r="V97" i="15"/>
  <c r="V96" i="15"/>
  <c r="V94" i="15"/>
  <c r="Q33" i="16" l="1"/>
  <c r="R29" i="16"/>
  <c r="R33" i="16" s="1"/>
  <c r="V92" i="15"/>
  <c r="V98" i="15"/>
  <c r="V93" i="15"/>
  <c r="J27" i="11" l="1"/>
  <c r="F15" i="6"/>
  <c r="L8" i="13"/>
  <c r="L12" i="13" s="1"/>
  <c r="J15" i="13" s="1"/>
  <c r="N12" i="13"/>
  <c r="P11" i="13"/>
  <c r="P9" i="13"/>
  <c r="J8" i="13"/>
  <c r="J14" i="13" s="1"/>
  <c r="L26" i="12"/>
  <c r="L29" i="12" s="1"/>
  <c r="D29" i="12"/>
  <c r="E29" i="12" s="1"/>
  <c r="F29" i="12" s="1"/>
  <c r="G29" i="12" s="1"/>
  <c r="H29" i="12" s="1"/>
  <c r="I29" i="12" s="1"/>
  <c r="B7" i="13"/>
  <c r="D6" i="13"/>
  <c r="B20" i="7"/>
  <c r="F20" i="7" s="1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" i="7"/>
  <c r="D7" i="13"/>
  <c r="D9" i="13"/>
  <c r="D10" i="13"/>
  <c r="D11" i="13"/>
  <c r="D12" i="13"/>
  <c r="J4" i="13"/>
  <c r="J5" i="13" s="1"/>
  <c r="B4" i="13" s="1"/>
  <c r="O20" i="12"/>
  <c r="O19" i="12"/>
  <c r="O18" i="12"/>
  <c r="O17" i="12"/>
  <c r="O16" i="12"/>
  <c r="M14" i="12"/>
  <c r="M13" i="12"/>
  <c r="L7" i="12"/>
  <c r="G7" i="12" s="1"/>
  <c r="D4" i="13" l="1"/>
  <c r="P10" i="13"/>
  <c r="P12" i="13" s="1"/>
  <c r="B13" i="13"/>
  <c r="D13" i="13" s="1"/>
  <c r="J10" i="7"/>
  <c r="F25" i="7"/>
  <c r="G23" i="7"/>
  <c r="J13" i="13"/>
  <c r="J16" i="13" s="1"/>
  <c r="B8" i="13" s="1"/>
  <c r="D8" i="13" s="1"/>
  <c r="D2" i="12"/>
  <c r="D4" i="12" s="1"/>
  <c r="C46" i="12" s="1"/>
  <c r="O22" i="12"/>
  <c r="H9" i="12"/>
  <c r="D8" i="12"/>
  <c r="D12" i="12" s="1"/>
  <c r="F8" i="12"/>
  <c r="F12" i="12" s="1"/>
  <c r="F14" i="12" s="1"/>
  <c r="E8" i="12"/>
  <c r="E12" i="12" s="1"/>
  <c r="D5" i="13" l="1"/>
  <c r="J2" i="7"/>
  <c r="L10" i="7" s="1"/>
  <c r="B3" i="13"/>
  <c r="D3" i="13" s="1"/>
  <c r="E14" i="12"/>
  <c r="D14" i="12"/>
  <c r="D20" i="13" l="1"/>
  <c r="E3" i="13" s="1"/>
  <c r="D15" i="12"/>
  <c r="F22" i="12" s="1"/>
  <c r="E12" i="13" l="1"/>
  <c r="C21" i="16"/>
  <c r="B2" i="16"/>
  <c r="E15" i="13"/>
  <c r="E14" i="13"/>
  <c r="E13" i="13"/>
  <c r="E5" i="13"/>
  <c r="E11" i="13"/>
  <c r="E9" i="13"/>
  <c r="E4" i="13"/>
  <c r="E10" i="13"/>
  <c r="E8" i="13"/>
  <c r="E7" i="13"/>
  <c r="E6" i="13"/>
  <c r="F18" i="12"/>
  <c r="G18" i="12" s="1"/>
  <c r="F19" i="12"/>
  <c r="G22" i="12"/>
  <c r="M19" i="16" s="1"/>
  <c r="M20" i="16" s="1"/>
  <c r="F20" i="12"/>
  <c r="G20" i="12" s="1"/>
  <c r="C36" i="12" s="1"/>
  <c r="F17" i="12"/>
  <c r="G17" i="12" s="1"/>
  <c r="L21" i="16" l="1"/>
  <c r="C17" i="16"/>
  <c r="C18" i="16" s="1"/>
  <c r="C20" i="16" s="1"/>
  <c r="E20" i="13"/>
  <c r="E21" i="13"/>
  <c r="G23" i="12"/>
  <c r="I53" i="15" s="1"/>
  <c r="C35" i="12"/>
  <c r="D35" i="12" s="1"/>
  <c r="E35" i="12" s="1"/>
  <c r="F35" i="12" s="1"/>
  <c r="G35" i="12" s="1"/>
  <c r="H35" i="12" s="1"/>
  <c r="I35" i="12" s="1"/>
  <c r="C39" i="12"/>
  <c r="D36" i="12"/>
  <c r="Y53" i="15" l="1"/>
  <c r="Y62" i="15" s="1"/>
  <c r="L26" i="16"/>
  <c r="C37" i="12"/>
  <c r="C40" i="12" s="1"/>
  <c r="C41" i="12" s="1"/>
  <c r="C42" i="12" s="1"/>
  <c r="D37" i="12"/>
  <c r="E36" i="12"/>
  <c r="L37" i="16" l="1"/>
  <c r="L63" i="16" s="1"/>
  <c r="L35" i="16"/>
  <c r="L36" i="16" s="1"/>
  <c r="K2" i="16" s="1"/>
  <c r="K4" i="16" s="1"/>
  <c r="F36" i="12"/>
  <c r="E37" i="12"/>
  <c r="G36" i="12" l="1"/>
  <c r="F37" i="12"/>
  <c r="H36" i="12" l="1"/>
  <c r="G37" i="12"/>
  <c r="I36" i="12" l="1"/>
  <c r="I37" i="12" s="1"/>
  <c r="H37" i="12"/>
  <c r="M53" i="11" l="1"/>
  <c r="E66" i="11" s="1"/>
  <c r="F29" i="3"/>
  <c r="N29" i="3" s="1"/>
  <c r="V29" i="3"/>
  <c r="D25" i="2"/>
  <c r="F5" i="6" s="1"/>
  <c r="E57" i="11"/>
  <c r="F57" i="11" s="1"/>
  <c r="V57" i="11" s="1"/>
  <c r="H53" i="11"/>
  <c r="H54" i="11"/>
  <c r="P54" i="11" s="1"/>
  <c r="H67" i="11" s="1"/>
  <c r="H55" i="11"/>
  <c r="P55" i="11" s="1"/>
  <c r="H68" i="11" s="1"/>
  <c r="H56" i="11"/>
  <c r="P56" i="11" s="1"/>
  <c r="H69" i="11" s="1"/>
  <c r="H57" i="11"/>
  <c r="P57" i="11" s="1"/>
  <c r="H70" i="11" s="1"/>
  <c r="H58" i="11"/>
  <c r="P58" i="11" s="1"/>
  <c r="H71" i="11" s="1"/>
  <c r="H59" i="11"/>
  <c r="P59" i="11" s="1"/>
  <c r="H72" i="11" s="1"/>
  <c r="H52" i="11"/>
  <c r="P52" i="11" s="1"/>
  <c r="H65" i="11" s="1"/>
  <c r="E59" i="11"/>
  <c r="M59" i="11" s="1"/>
  <c r="E72" i="11" s="1"/>
  <c r="F53" i="11"/>
  <c r="V53" i="11" s="1"/>
  <c r="AD53" i="11" s="1"/>
  <c r="E54" i="11"/>
  <c r="M54" i="11" s="1"/>
  <c r="E67" i="11" s="1"/>
  <c r="E55" i="11"/>
  <c r="F55" i="11" s="1"/>
  <c r="N55" i="11" s="1"/>
  <c r="F68" i="11" s="1"/>
  <c r="E56" i="11"/>
  <c r="F56" i="11" s="1"/>
  <c r="E58" i="11"/>
  <c r="M58" i="11" s="1"/>
  <c r="E71" i="11" s="1"/>
  <c r="AD92" i="11"/>
  <c r="X129" i="11"/>
  <c r="AF117" i="11"/>
  <c r="AF118" i="11" s="1"/>
  <c r="AD99" i="11"/>
  <c r="V99" i="11"/>
  <c r="AD98" i="11"/>
  <c r="V98" i="11"/>
  <c r="AD97" i="11"/>
  <c r="V97" i="11"/>
  <c r="AD96" i="11"/>
  <c r="V96" i="11"/>
  <c r="AD95" i="11"/>
  <c r="V95" i="11"/>
  <c r="AD94" i="11"/>
  <c r="AD93" i="11"/>
  <c r="S86" i="11"/>
  <c r="E86" i="11"/>
  <c r="X80" i="11"/>
  <c r="X79" i="11" s="1"/>
  <c r="X81" i="11" s="1"/>
  <c r="X82" i="11" s="1"/>
  <c r="X83" i="11" s="1"/>
  <c r="M74" i="11"/>
  <c r="AF67" i="11"/>
  <c r="AF66" i="11" s="1"/>
  <c r="AF68" i="11" s="1"/>
  <c r="AF69" i="11" s="1"/>
  <c r="M48" i="11"/>
  <c r="E48" i="11"/>
  <c r="AD46" i="11"/>
  <c r="AD45" i="11"/>
  <c r="AD44" i="11"/>
  <c r="AD43" i="11"/>
  <c r="AD42" i="11"/>
  <c r="AD40" i="11"/>
  <c r="AD41" i="11"/>
  <c r="E24" i="6"/>
  <c r="E25" i="6" s="1"/>
  <c r="E26" i="6" s="1"/>
  <c r="E22" i="6"/>
  <c r="C66" i="2"/>
  <c r="B15" i="9"/>
  <c r="H22" i="3"/>
  <c r="C27" i="11" l="1"/>
  <c r="D27" i="11" s="1"/>
  <c r="C41" i="15"/>
  <c r="D41" i="15" s="1"/>
  <c r="G41" i="15" s="1"/>
  <c r="H25" i="2"/>
  <c r="G5" i="6"/>
  <c r="H66" i="11"/>
  <c r="F58" i="11"/>
  <c r="V58" i="11" s="1"/>
  <c r="AD58" i="11" s="1"/>
  <c r="P67" i="11"/>
  <c r="P66" i="11" s="1"/>
  <c r="P68" i="11" s="1"/>
  <c r="H80" i="11"/>
  <c r="H79" i="11" s="1"/>
  <c r="H81" i="11" s="1"/>
  <c r="M57" i="11"/>
  <c r="E70" i="11" s="1"/>
  <c r="F54" i="11"/>
  <c r="V54" i="11" s="1"/>
  <c r="AD54" i="11" s="1"/>
  <c r="AD29" i="3"/>
  <c r="F59" i="11"/>
  <c r="N59" i="11" s="1"/>
  <c r="F72" i="11" s="1"/>
  <c r="N56" i="11"/>
  <c r="F69" i="11" s="1"/>
  <c r="V69" i="11" s="1"/>
  <c r="V55" i="11"/>
  <c r="AD55" i="11" s="1"/>
  <c r="AD39" i="11"/>
  <c r="V107" i="11"/>
  <c r="AD107" i="11" s="1"/>
  <c r="V56" i="11"/>
  <c r="AD56" i="11" s="1"/>
  <c r="X84" i="11"/>
  <c r="X130" i="11"/>
  <c r="AF70" i="11"/>
  <c r="AD57" i="11"/>
  <c r="AF119" i="11"/>
  <c r="V108" i="11"/>
  <c r="V109" i="11"/>
  <c r="V106" i="11"/>
  <c r="D14" i="3"/>
  <c r="D23" i="7"/>
  <c r="S61" i="3"/>
  <c r="E23" i="3"/>
  <c r="M23" i="3"/>
  <c r="E36" i="3"/>
  <c r="M36" i="3"/>
  <c r="E49" i="3"/>
  <c r="M49" i="3"/>
  <c r="E61" i="3"/>
  <c r="N69" i="3"/>
  <c r="N68" i="3"/>
  <c r="N70" i="3"/>
  <c r="N71" i="3"/>
  <c r="N72" i="3"/>
  <c r="N73" i="3"/>
  <c r="N74" i="3"/>
  <c r="F70" i="3"/>
  <c r="F71" i="3"/>
  <c r="F72" i="3"/>
  <c r="F73" i="3"/>
  <c r="F74" i="3"/>
  <c r="P93" i="3"/>
  <c r="P92" i="3" s="1"/>
  <c r="H105" i="3"/>
  <c r="AD16" i="3"/>
  <c r="AD15" i="3"/>
  <c r="AD17" i="3"/>
  <c r="AD18" i="3"/>
  <c r="AD19" i="3"/>
  <c r="AD20" i="3"/>
  <c r="AD21" i="3"/>
  <c r="F28" i="3"/>
  <c r="N28" i="3" s="1"/>
  <c r="F41" i="3" s="1"/>
  <c r="N41" i="3" s="1"/>
  <c r="AD41" i="3" s="1"/>
  <c r="F30" i="3"/>
  <c r="V30" i="3" s="1"/>
  <c r="AD30" i="3" s="1"/>
  <c r="F31" i="3"/>
  <c r="V31" i="3" s="1"/>
  <c r="AD31" i="3" s="1"/>
  <c r="F32" i="3"/>
  <c r="V32" i="3" s="1"/>
  <c r="AD32" i="3" s="1"/>
  <c r="F33" i="3"/>
  <c r="N33" i="3" s="1"/>
  <c r="F46" i="3" s="1"/>
  <c r="N46" i="3" s="1"/>
  <c r="AD46" i="3" s="1"/>
  <c r="F34" i="3"/>
  <c r="N34" i="3" s="1"/>
  <c r="F47" i="3" s="1"/>
  <c r="N47" i="3" s="1"/>
  <c r="AD47" i="3" s="1"/>
  <c r="N14" i="3"/>
  <c r="AD14" i="3" s="1"/>
  <c r="C11" i="6"/>
  <c r="O17" i="2"/>
  <c r="P17" i="2" s="1"/>
  <c r="Q17" i="2" s="1"/>
  <c r="O20" i="2"/>
  <c r="P20" i="2" s="1"/>
  <c r="Q20" i="2" s="1"/>
  <c r="E68" i="2" s="1"/>
  <c r="O21" i="2"/>
  <c r="P21" i="2" s="1"/>
  <c r="Q21" i="2" s="1"/>
  <c r="O22" i="2"/>
  <c r="P22" i="2" s="1"/>
  <c r="Q22" i="2" s="1"/>
  <c r="E69" i="2" s="1"/>
  <c r="O23" i="2"/>
  <c r="Q19" i="2"/>
  <c r="C12" i="6" s="1"/>
  <c r="P23" i="2"/>
  <c r="Q23" i="2" s="1"/>
  <c r="N4" i="2"/>
  <c r="P12" i="2"/>
  <c r="O13" i="2"/>
  <c r="P13" i="2" s="1"/>
  <c r="Q13" i="2" s="1"/>
  <c r="O15" i="2"/>
  <c r="P15" i="2" s="1"/>
  <c r="Q15" i="2" s="1"/>
  <c r="O16" i="2"/>
  <c r="P16" i="2" s="1"/>
  <c r="Q16" i="2" s="1"/>
  <c r="O7" i="2"/>
  <c r="P7" i="2" s="1"/>
  <c r="Q7" i="2" s="1"/>
  <c r="C9" i="6" s="1"/>
  <c r="O5" i="2"/>
  <c r="P5" i="2" s="1"/>
  <c r="Q5" i="2" s="1"/>
  <c r="O8" i="2"/>
  <c r="P8" i="2" s="1"/>
  <c r="Q8" i="2" s="1"/>
  <c r="C10" i="6" s="1"/>
  <c r="O6" i="2"/>
  <c r="P6" i="2" s="1"/>
  <c r="Q6" i="2" s="1"/>
  <c r="O4" i="2"/>
  <c r="B49" i="2"/>
  <c r="B29" i="2"/>
  <c r="B28" i="2"/>
  <c r="B27" i="2"/>
  <c r="B62" i="2"/>
  <c r="E27" i="2"/>
  <c r="E66" i="2" s="1"/>
  <c r="G66" i="2"/>
  <c r="G20" i="2"/>
  <c r="G24" i="2"/>
  <c r="L53" i="15" l="1"/>
  <c r="C42" i="15"/>
  <c r="D42" i="15" s="1"/>
  <c r="H5" i="6"/>
  <c r="D27" i="3" s="1"/>
  <c r="C28" i="11"/>
  <c r="D28" i="11" s="1"/>
  <c r="N57" i="11"/>
  <c r="F70" i="11" s="1"/>
  <c r="V121" i="11" s="1"/>
  <c r="V105" i="11"/>
  <c r="AD105" i="11" s="1"/>
  <c r="V110" i="11"/>
  <c r="AD110" i="11" s="1"/>
  <c r="N58" i="11"/>
  <c r="F71" i="11" s="1"/>
  <c r="V122" i="11" s="1"/>
  <c r="N54" i="11"/>
  <c r="F67" i="11" s="1"/>
  <c r="N67" i="11" s="1"/>
  <c r="N53" i="11"/>
  <c r="V59" i="11"/>
  <c r="AD59" i="11" s="1"/>
  <c r="V111" i="11"/>
  <c r="N69" i="11"/>
  <c r="F82" i="11" s="1"/>
  <c r="D11" i="6"/>
  <c r="F11" i="6" s="1"/>
  <c r="D9" i="6"/>
  <c r="F9" i="6" s="1"/>
  <c r="D12" i="6"/>
  <c r="F12" i="6" s="1"/>
  <c r="D8" i="6"/>
  <c r="F8" i="6" s="1"/>
  <c r="D10" i="6"/>
  <c r="F10" i="6" s="1"/>
  <c r="V120" i="11"/>
  <c r="AD106" i="11"/>
  <c r="P69" i="11"/>
  <c r="X131" i="11"/>
  <c r="AF71" i="11"/>
  <c r="AD109" i="11"/>
  <c r="V123" i="11"/>
  <c r="V72" i="11"/>
  <c r="N72" i="11"/>
  <c r="H82" i="11"/>
  <c r="V119" i="11"/>
  <c r="V68" i="11"/>
  <c r="N68" i="11"/>
  <c r="X85" i="11"/>
  <c r="AF120" i="11"/>
  <c r="AD108" i="11"/>
  <c r="L14" i="3"/>
  <c r="V47" i="3"/>
  <c r="V46" i="3"/>
  <c r="V41" i="3"/>
  <c r="F81" i="3"/>
  <c r="N81" i="3" s="1"/>
  <c r="N67" i="3"/>
  <c r="F84" i="3"/>
  <c r="N84" i="3" s="1"/>
  <c r="F83" i="3"/>
  <c r="N83" i="3" s="1"/>
  <c r="F86" i="3"/>
  <c r="N86" i="3" s="1"/>
  <c r="F82" i="3"/>
  <c r="F98" i="3"/>
  <c r="N98" i="3"/>
  <c r="F85" i="3"/>
  <c r="N85" i="3" s="1"/>
  <c r="F80" i="3"/>
  <c r="N80" i="3" s="1"/>
  <c r="F97" i="3"/>
  <c r="F92" i="3"/>
  <c r="N97" i="3"/>
  <c r="N92" i="3"/>
  <c r="V28" i="3"/>
  <c r="AD28" i="3" s="1"/>
  <c r="V33" i="3"/>
  <c r="AD33" i="3" s="1"/>
  <c r="H104" i="3"/>
  <c r="P94" i="3"/>
  <c r="V34" i="3"/>
  <c r="AD34" i="3" s="1"/>
  <c r="F35" i="3"/>
  <c r="N31" i="3"/>
  <c r="F44" i="3" s="1"/>
  <c r="N30" i="3"/>
  <c r="F43" i="3" s="1"/>
  <c r="N32" i="3"/>
  <c r="F45" i="3" s="1"/>
  <c r="F42" i="3"/>
  <c r="F93" i="3" s="1"/>
  <c r="P4" i="2"/>
  <c r="Q4" i="2" s="1"/>
  <c r="F4" i="1"/>
  <c r="P7" i="1"/>
  <c r="P12" i="1"/>
  <c r="M11" i="1"/>
  <c r="P11" i="1" s="1"/>
  <c r="P8" i="1"/>
  <c r="P10" i="1"/>
  <c r="P6" i="1"/>
  <c r="M9" i="1"/>
  <c r="P9" i="1" s="1"/>
  <c r="AB53" i="15" l="1"/>
  <c r="AE53" i="15" s="1"/>
  <c r="AB106" i="15"/>
  <c r="AE106" i="15" s="1"/>
  <c r="C29" i="11"/>
  <c r="D29" i="11" s="1"/>
  <c r="C43" i="15"/>
  <c r="D43" i="15" s="1"/>
  <c r="D66" i="15"/>
  <c r="E26" i="15"/>
  <c r="I5" i="6"/>
  <c r="V117" i="11"/>
  <c r="V67" i="11"/>
  <c r="V71" i="11"/>
  <c r="N71" i="11"/>
  <c r="AD122" i="11" s="1"/>
  <c r="V70" i="11"/>
  <c r="N70" i="11"/>
  <c r="F83" i="11" s="1"/>
  <c r="V83" i="11" s="1"/>
  <c r="AD111" i="11"/>
  <c r="F66" i="11"/>
  <c r="C7" i="6"/>
  <c r="D16" i="3" s="1"/>
  <c r="AD120" i="11"/>
  <c r="AD69" i="11"/>
  <c r="D19" i="3"/>
  <c r="T19" i="3" s="1"/>
  <c r="D17" i="3"/>
  <c r="T17" i="3" s="1"/>
  <c r="D20" i="3"/>
  <c r="T20" i="3" s="1"/>
  <c r="D21" i="3"/>
  <c r="D18" i="3"/>
  <c r="T18" i="3" s="1"/>
  <c r="G9" i="6"/>
  <c r="F80" i="11"/>
  <c r="AD67" i="11"/>
  <c r="AD117" i="11"/>
  <c r="X132" i="11"/>
  <c r="V132" i="11"/>
  <c r="V82" i="11"/>
  <c r="H83" i="11"/>
  <c r="AD119" i="11"/>
  <c r="AD68" i="11"/>
  <c r="F81" i="11"/>
  <c r="AF121" i="11"/>
  <c r="AF72" i="11"/>
  <c r="F85" i="11"/>
  <c r="AD72" i="11"/>
  <c r="AD123" i="11"/>
  <c r="P70" i="11"/>
  <c r="D7" i="6"/>
  <c r="F7" i="6" s="1"/>
  <c r="G7" i="6" s="1"/>
  <c r="V35" i="3"/>
  <c r="AD35" i="3" s="1"/>
  <c r="Q6" i="1"/>
  <c r="F96" i="3"/>
  <c r="V45" i="3"/>
  <c r="F94" i="3"/>
  <c r="V43" i="3"/>
  <c r="F95" i="3"/>
  <c r="V44" i="3"/>
  <c r="V27" i="3"/>
  <c r="AD27" i="3" s="1"/>
  <c r="F79" i="3"/>
  <c r="F87" i="3" s="1"/>
  <c r="N82" i="3"/>
  <c r="N27" i="3"/>
  <c r="H106" i="3"/>
  <c r="P95" i="3"/>
  <c r="N44" i="3"/>
  <c r="N42" i="3"/>
  <c r="V42" i="3"/>
  <c r="N43" i="3"/>
  <c r="N45" i="3"/>
  <c r="B8" i="1"/>
  <c r="B9" i="1" s="1"/>
  <c r="B10" i="1" s="1"/>
  <c r="B11" i="1" s="1"/>
  <c r="B12" i="1" s="1"/>
  <c r="B13" i="1" s="1"/>
  <c r="B14" i="1" s="1"/>
  <c r="H55" i="3"/>
  <c r="H54" i="3" s="1"/>
  <c r="P42" i="3"/>
  <c r="P41" i="3" s="1"/>
  <c r="X55" i="3"/>
  <c r="X54" i="3" s="1"/>
  <c r="AF42" i="3"/>
  <c r="AF41" i="3" s="1"/>
  <c r="AF43" i="3" s="1"/>
  <c r="AF44" i="3" s="1"/>
  <c r="AF45" i="3" s="1"/>
  <c r="D81" i="2"/>
  <c r="D82" i="2"/>
  <c r="D83" i="2"/>
  <c r="D84" i="2"/>
  <c r="D85" i="2"/>
  <c r="D86" i="2"/>
  <c r="D87" i="2"/>
  <c r="D80" i="2"/>
  <c r="C88" i="2"/>
  <c r="D77" i="2"/>
  <c r="C69" i="2"/>
  <c r="D69" i="2" s="1"/>
  <c r="C72" i="2"/>
  <c r="D72" i="2" s="1"/>
  <c r="O12" i="4"/>
  <c r="D73" i="2"/>
  <c r="D74" i="2"/>
  <c r="D75" i="2"/>
  <c r="D76" i="2"/>
  <c r="D70" i="2"/>
  <c r="C71" i="2"/>
  <c r="D71" i="2" s="1"/>
  <c r="O3" i="4"/>
  <c r="P3" i="4"/>
  <c r="N2" i="4"/>
  <c r="O2" i="4"/>
  <c r="AE6" i="2"/>
  <c r="C68" i="2" s="1"/>
  <c r="D68" i="2" s="1"/>
  <c r="D22" i="2"/>
  <c r="H22" i="2" s="1"/>
  <c r="D23" i="2"/>
  <c r="H23" i="2" s="1"/>
  <c r="D21" i="2"/>
  <c r="D19" i="2"/>
  <c r="H19" i="2" s="1"/>
  <c r="D10" i="2"/>
  <c r="H10" i="2" s="1"/>
  <c r="D11" i="2"/>
  <c r="H11" i="2" s="1"/>
  <c r="D12" i="2"/>
  <c r="H12" i="2" s="1"/>
  <c r="D13" i="2"/>
  <c r="H13" i="2" s="1"/>
  <c r="D14" i="2"/>
  <c r="H14" i="2" s="1"/>
  <c r="D15" i="2"/>
  <c r="H15" i="2" s="1"/>
  <c r="D16" i="2"/>
  <c r="H16" i="2" s="1"/>
  <c r="D17" i="2"/>
  <c r="H17" i="2" s="1"/>
  <c r="D18" i="2"/>
  <c r="H18" i="2" s="1"/>
  <c r="D9" i="2"/>
  <c r="H9" i="2" s="1"/>
  <c r="D5" i="2"/>
  <c r="D47" i="2"/>
  <c r="H47" i="2" s="1"/>
  <c r="D44" i="2"/>
  <c r="H44" i="2" s="1"/>
  <c r="D61" i="2"/>
  <c r="H61" i="2" s="1"/>
  <c r="D45" i="2"/>
  <c r="H45" i="2" s="1"/>
  <c r="D63" i="2"/>
  <c r="H63" i="2" s="1"/>
  <c r="D57" i="2"/>
  <c r="H57" i="2" s="1"/>
  <c r="D58" i="2"/>
  <c r="H58" i="2" s="1"/>
  <c r="D59" i="2"/>
  <c r="H59" i="2" s="1"/>
  <c r="D53" i="2"/>
  <c r="H53" i="2" s="1"/>
  <c r="D54" i="2"/>
  <c r="H54" i="2" s="1"/>
  <c r="D46" i="2"/>
  <c r="H46" i="2" s="1"/>
  <c r="D50" i="2"/>
  <c r="H50" i="2" s="1"/>
  <c r="D43" i="2"/>
  <c r="H43" i="2" s="1"/>
  <c r="D60" i="2"/>
  <c r="H60" i="2" s="1"/>
  <c r="D30" i="2"/>
  <c r="D48" i="2"/>
  <c r="H48" i="2" s="1"/>
  <c r="D33" i="2"/>
  <c r="H33" i="2" s="1"/>
  <c r="D40" i="2"/>
  <c r="H40" i="2" s="1"/>
  <c r="D42" i="2"/>
  <c r="H42" i="2" s="1"/>
  <c r="D52" i="2"/>
  <c r="H52" i="2" s="1"/>
  <c r="D62" i="2"/>
  <c r="H62" i="2" s="1"/>
  <c r="D56" i="2"/>
  <c r="H56" i="2" s="1"/>
  <c r="E17" i="1"/>
  <c r="I8" i="1"/>
  <c r="J8" i="1" s="1"/>
  <c r="I9" i="1"/>
  <c r="J9" i="1" s="1"/>
  <c r="I10" i="1"/>
  <c r="J10" i="1" s="1"/>
  <c r="I11" i="1"/>
  <c r="J11" i="1" s="1"/>
  <c r="I12" i="1"/>
  <c r="J12" i="1" s="1"/>
  <c r="I7" i="1"/>
  <c r="J7" i="1" s="1"/>
  <c r="C4" i="1"/>
  <c r="D4" i="1" s="1"/>
  <c r="M26" i="1"/>
  <c r="I2" i="4"/>
  <c r="O37" i="1"/>
  <c r="P37" i="1" s="1"/>
  <c r="AA5" i="2" s="1"/>
  <c r="C24" i="2"/>
  <c r="B23" i="2"/>
  <c r="B22" i="2"/>
  <c r="B21" i="2"/>
  <c r="B16" i="2"/>
  <c r="B15" i="2"/>
  <c r="B12" i="2"/>
  <c r="B11" i="2"/>
  <c r="B10" i="2"/>
  <c r="C8" i="2"/>
  <c r="D8" i="2" s="1"/>
  <c r="B8" i="2"/>
  <c r="B5" i="2"/>
  <c r="C4" i="2"/>
  <c r="D4" i="2" s="1"/>
  <c r="B4" i="2"/>
  <c r="D7" i="2"/>
  <c r="B7" i="2"/>
  <c r="B52" i="2"/>
  <c r="E31" i="1"/>
  <c r="F31" i="1"/>
  <c r="D31" i="1"/>
  <c r="O35" i="1"/>
  <c r="P35" i="1" s="1"/>
  <c r="P36" i="1" s="1"/>
  <c r="T66" i="15" l="1"/>
  <c r="W66" i="15" s="1"/>
  <c r="T118" i="15"/>
  <c r="AG106" i="15"/>
  <c r="H7" i="6"/>
  <c r="L55" i="15"/>
  <c r="AB55" i="15" s="1"/>
  <c r="AE55" i="15" s="1"/>
  <c r="AG55" i="15" s="1"/>
  <c r="H9" i="6"/>
  <c r="L57" i="15"/>
  <c r="AB57" i="15" s="1"/>
  <c r="AE57" i="15" s="1"/>
  <c r="AG57" i="15" s="1"/>
  <c r="C13" i="6"/>
  <c r="C30" i="11"/>
  <c r="D30" i="11" s="1"/>
  <c r="L66" i="15"/>
  <c r="C44" i="15"/>
  <c r="D44" i="15" s="1"/>
  <c r="L27" i="3"/>
  <c r="J5" i="6"/>
  <c r="D40" i="3" s="1"/>
  <c r="V133" i="11"/>
  <c r="D71" i="3"/>
  <c r="G71" i="3" s="1"/>
  <c r="AD71" i="11"/>
  <c r="F84" i="11"/>
  <c r="V134" i="11" s="1"/>
  <c r="AD121" i="11"/>
  <c r="AD70" i="11"/>
  <c r="V118" i="11"/>
  <c r="N66" i="11"/>
  <c r="V66" i="11"/>
  <c r="T16" i="3"/>
  <c r="D69" i="3"/>
  <c r="G69" i="3" s="1"/>
  <c r="D73" i="3"/>
  <c r="G73" i="3" s="1"/>
  <c r="D70" i="3"/>
  <c r="G70" i="3" s="1"/>
  <c r="T21" i="3"/>
  <c r="D74" i="3"/>
  <c r="G74" i="3" s="1"/>
  <c r="D72" i="3"/>
  <c r="G72" i="3" s="1"/>
  <c r="V129" i="11"/>
  <c r="V80" i="11"/>
  <c r="V131" i="11"/>
  <c r="V81" i="11"/>
  <c r="X133" i="11"/>
  <c r="H84" i="11"/>
  <c r="P71" i="11"/>
  <c r="AF122" i="11"/>
  <c r="V85" i="11"/>
  <c r="V135" i="11"/>
  <c r="D67" i="3"/>
  <c r="G67" i="3" s="1"/>
  <c r="I67" i="3" s="1"/>
  <c r="I75" i="3" s="1"/>
  <c r="T14" i="3"/>
  <c r="AD43" i="3"/>
  <c r="N94" i="3"/>
  <c r="AD45" i="3"/>
  <c r="N96" i="3"/>
  <c r="AD44" i="3"/>
  <c r="N95" i="3"/>
  <c r="AD42" i="3"/>
  <c r="N93" i="3"/>
  <c r="F40" i="3"/>
  <c r="N79" i="3"/>
  <c r="P96" i="3"/>
  <c r="H107" i="3"/>
  <c r="H30" i="2"/>
  <c r="H66" i="2" s="1"/>
  <c r="D66" i="2"/>
  <c r="D6" i="6" s="1"/>
  <c r="F6" i="6" s="1"/>
  <c r="F13" i="6" s="1"/>
  <c r="D88" i="2"/>
  <c r="D24" i="2"/>
  <c r="H21" i="2"/>
  <c r="H8" i="2"/>
  <c r="H7" i="2"/>
  <c r="H5" i="2"/>
  <c r="P43" i="3"/>
  <c r="H56" i="3"/>
  <c r="AF46" i="3"/>
  <c r="AF47" i="3" s="1"/>
  <c r="X56" i="3"/>
  <c r="D78" i="2"/>
  <c r="C78" i="2"/>
  <c r="D20" i="2"/>
  <c r="C7" i="1"/>
  <c r="E7" i="1" s="1"/>
  <c r="C8" i="1" s="1"/>
  <c r="E8" i="1" s="1"/>
  <c r="D6" i="2"/>
  <c r="H6" i="2" s="1"/>
  <c r="H4" i="2"/>
  <c r="W118" i="15" l="1"/>
  <c r="AB66" i="15"/>
  <c r="AE66" i="15" s="1"/>
  <c r="AB118" i="15"/>
  <c r="AE118" i="15" s="1"/>
  <c r="I7" i="6"/>
  <c r="D68" i="15"/>
  <c r="T68" i="15" s="1"/>
  <c r="W68" i="15" s="1"/>
  <c r="Y68" i="15" s="1"/>
  <c r="D29" i="3"/>
  <c r="O55" i="15"/>
  <c r="Q55" i="15" s="1"/>
  <c r="E28" i="15"/>
  <c r="E30" i="15"/>
  <c r="O57" i="15"/>
  <c r="Q57" i="15" s="1"/>
  <c r="I9" i="6"/>
  <c r="D70" i="15"/>
  <c r="T70" i="15" s="1"/>
  <c r="W70" i="15" s="1"/>
  <c r="Y70" i="15" s="1"/>
  <c r="C31" i="11"/>
  <c r="D31" i="11" s="1"/>
  <c r="C45" i="15"/>
  <c r="D45" i="15" s="1"/>
  <c r="D79" i="15"/>
  <c r="K5" i="6"/>
  <c r="L5" i="6" s="1"/>
  <c r="V84" i="11"/>
  <c r="F79" i="11"/>
  <c r="AD66" i="11"/>
  <c r="AD118" i="11"/>
  <c r="D15" i="3"/>
  <c r="D22" i="3" s="1"/>
  <c r="G6" i="6"/>
  <c r="L54" i="15" s="1"/>
  <c r="E10" i="6"/>
  <c r="G8" i="6"/>
  <c r="L56" i="15" s="1"/>
  <c r="AB56" i="15" s="1"/>
  <c r="AE56" i="15" s="1"/>
  <c r="AG56" i="15" s="1"/>
  <c r="X134" i="11"/>
  <c r="P72" i="11"/>
  <c r="AF123" i="11"/>
  <c r="H85" i="11"/>
  <c r="L67" i="3"/>
  <c r="O67" i="3" s="1"/>
  <c r="L18" i="3"/>
  <c r="AB14" i="3"/>
  <c r="AE14" i="3" s="1"/>
  <c r="AG14" i="3" s="1"/>
  <c r="F91" i="3"/>
  <c r="N40" i="3"/>
  <c r="V40" i="3"/>
  <c r="H108" i="3"/>
  <c r="P97" i="3"/>
  <c r="H24" i="2"/>
  <c r="F58" i="3"/>
  <c r="F54" i="3"/>
  <c r="H57" i="3"/>
  <c r="F55" i="3"/>
  <c r="P44" i="3"/>
  <c r="X57" i="3"/>
  <c r="X58" i="3" s="1"/>
  <c r="C9" i="1"/>
  <c r="E9" i="1" s="1"/>
  <c r="C10" i="1" s="1"/>
  <c r="E10" i="1" s="1"/>
  <c r="C11" i="1" s="1"/>
  <c r="E11" i="1" s="1"/>
  <c r="C12" i="1" s="1"/>
  <c r="E12" i="1" s="1"/>
  <c r="C13" i="1" s="1"/>
  <c r="E13" i="1" s="1"/>
  <c r="C14" i="1" s="1"/>
  <c r="E14" i="1" s="1"/>
  <c r="H20" i="2"/>
  <c r="Y118" i="15" l="1"/>
  <c r="U118" i="15"/>
  <c r="U126" i="15" s="1"/>
  <c r="AB54" i="15"/>
  <c r="AE54" i="15" s="1"/>
  <c r="AB108" i="15"/>
  <c r="AE108" i="15" s="1"/>
  <c r="AG108" i="15" s="1"/>
  <c r="AG114" i="15" s="1"/>
  <c r="AC118" i="15"/>
  <c r="AG118" i="15"/>
  <c r="T79" i="15"/>
  <c r="W79" i="15" s="1"/>
  <c r="T130" i="15"/>
  <c r="W130" i="15" s="1"/>
  <c r="J9" i="6"/>
  <c r="E29" i="15"/>
  <c r="O56" i="15"/>
  <c r="Q56" i="15" s="1"/>
  <c r="T29" i="3"/>
  <c r="W29" i="3" s="1"/>
  <c r="Y29" i="3" s="1"/>
  <c r="G29" i="3"/>
  <c r="I29" i="3" s="1"/>
  <c r="J7" i="6"/>
  <c r="L29" i="3"/>
  <c r="L40" i="3"/>
  <c r="C32" i="11"/>
  <c r="D32" i="11" s="1"/>
  <c r="L79" i="15"/>
  <c r="C46" i="15"/>
  <c r="D46" i="15" s="1"/>
  <c r="C33" i="11"/>
  <c r="D33" i="11" s="1"/>
  <c r="D92" i="15"/>
  <c r="C47" i="15"/>
  <c r="D47" i="15" s="1"/>
  <c r="O54" i="15"/>
  <c r="Q54" i="15" s="1"/>
  <c r="E27" i="15"/>
  <c r="H6" i="6"/>
  <c r="L16" i="3"/>
  <c r="L69" i="3" s="1"/>
  <c r="O69" i="3" s="1"/>
  <c r="M69" i="3" s="1"/>
  <c r="V130" i="11"/>
  <c r="V79" i="11"/>
  <c r="T15" i="3"/>
  <c r="D68" i="3"/>
  <c r="G68" i="3" s="1"/>
  <c r="L15" i="3"/>
  <c r="AB15" i="3" s="1"/>
  <c r="H8" i="6"/>
  <c r="L17" i="3"/>
  <c r="E11" i="6"/>
  <c r="G10" i="6"/>
  <c r="L58" i="15" s="1"/>
  <c r="AB58" i="15" s="1"/>
  <c r="AE58" i="15" s="1"/>
  <c r="AG58" i="15" s="1"/>
  <c r="D53" i="3"/>
  <c r="X135" i="11"/>
  <c r="O14" i="3"/>
  <c r="Q14" i="3" s="1"/>
  <c r="AB18" i="3"/>
  <c r="L71" i="3"/>
  <c r="O71" i="3" s="1"/>
  <c r="Q71" i="3" s="1"/>
  <c r="Q67" i="3"/>
  <c r="M67" i="3"/>
  <c r="V54" i="3"/>
  <c r="F104" i="3"/>
  <c r="N91" i="3"/>
  <c r="AD40" i="3"/>
  <c r="F53" i="3"/>
  <c r="V58" i="3"/>
  <c r="F108" i="3"/>
  <c r="V55" i="3"/>
  <c r="F105" i="3"/>
  <c r="P98" i="3"/>
  <c r="H109" i="3"/>
  <c r="H89" i="2"/>
  <c r="C89" i="2" s="1"/>
  <c r="O18" i="3"/>
  <c r="Q18" i="3" s="1"/>
  <c r="F56" i="3"/>
  <c r="H58" i="3"/>
  <c r="F60" i="3"/>
  <c r="P45" i="3"/>
  <c r="F57" i="3"/>
  <c r="W14" i="3"/>
  <c r="Y14" i="3" s="1"/>
  <c r="Y23" i="3" s="1"/>
  <c r="C3" i="3" s="1"/>
  <c r="T92" i="15" l="1"/>
  <c r="W92" i="15" s="1"/>
  <c r="T142" i="15"/>
  <c r="AB79" i="15"/>
  <c r="AE79" i="15" s="1"/>
  <c r="AB130" i="15"/>
  <c r="AE130" i="15" s="1"/>
  <c r="U130" i="15"/>
  <c r="Y130" i="15"/>
  <c r="AG54" i="15"/>
  <c r="AB16" i="3"/>
  <c r="AE16" i="3" s="1"/>
  <c r="U29" i="3" s="1"/>
  <c r="Q69" i="3"/>
  <c r="K7" i="6"/>
  <c r="D81" i="15"/>
  <c r="T81" i="15" s="1"/>
  <c r="W81" i="15" s="1"/>
  <c r="Y81" i="15" s="1"/>
  <c r="O58" i="15"/>
  <c r="Q58" i="15" s="1"/>
  <c r="E31" i="15"/>
  <c r="D30" i="3"/>
  <c r="D82" i="3" s="1"/>
  <c r="G82" i="3" s="1"/>
  <c r="I82" i="3" s="1"/>
  <c r="D69" i="15"/>
  <c r="T69" i="15" s="1"/>
  <c r="W69" i="15" s="1"/>
  <c r="Y69" i="15" s="1"/>
  <c r="AB29" i="3"/>
  <c r="AE29" i="3" s="1"/>
  <c r="O29" i="3"/>
  <c r="Q29" i="3" s="1"/>
  <c r="K9" i="6"/>
  <c r="D83" i="15"/>
  <c r="T83" i="15" s="1"/>
  <c r="W83" i="15" s="1"/>
  <c r="Y83" i="15" s="1"/>
  <c r="O16" i="3"/>
  <c r="Q16" i="3" s="1"/>
  <c r="L68" i="3"/>
  <c r="O68" i="3" s="1"/>
  <c r="Q68" i="3" s="1"/>
  <c r="I6" i="6"/>
  <c r="L67" i="15" s="1"/>
  <c r="D67" i="15"/>
  <c r="H10" i="6"/>
  <c r="D71" i="15" s="1"/>
  <c r="T71" i="15" s="1"/>
  <c r="W71" i="15" s="1"/>
  <c r="Y71" i="15" s="1"/>
  <c r="L19" i="3"/>
  <c r="O19" i="3" s="1"/>
  <c r="Q19" i="3" s="1"/>
  <c r="E12" i="6"/>
  <c r="G11" i="6"/>
  <c r="L59" i="15" s="1"/>
  <c r="AB59" i="15" s="1"/>
  <c r="AE59" i="15" s="1"/>
  <c r="AG59" i="15" s="1"/>
  <c r="AB17" i="3"/>
  <c r="L70" i="3"/>
  <c r="O70" i="3" s="1"/>
  <c r="Q70" i="3" s="1"/>
  <c r="O17" i="3"/>
  <c r="Q17" i="3" s="1"/>
  <c r="I8" i="6"/>
  <c r="AB41" i="3"/>
  <c r="AE41" i="3" s="1"/>
  <c r="AG41" i="3" s="1"/>
  <c r="AE15" i="3"/>
  <c r="AG15" i="3" s="1"/>
  <c r="AB44" i="3"/>
  <c r="AE44" i="3" s="1"/>
  <c r="AG44" i="3" s="1"/>
  <c r="AE18" i="3"/>
  <c r="AG18" i="3" s="1"/>
  <c r="V60" i="3"/>
  <c r="F110" i="3"/>
  <c r="V57" i="3"/>
  <c r="F107" i="3"/>
  <c r="V56" i="3"/>
  <c r="F106" i="3"/>
  <c r="D79" i="3"/>
  <c r="V53" i="3"/>
  <c r="F103" i="3"/>
  <c r="H110" i="3"/>
  <c r="G30" i="3"/>
  <c r="I30" i="3" s="1"/>
  <c r="T30" i="3"/>
  <c r="W30" i="3" s="1"/>
  <c r="G27" i="3"/>
  <c r="T27" i="3"/>
  <c r="W27" i="3" s="1"/>
  <c r="O15" i="3"/>
  <c r="Q15" i="3" s="1"/>
  <c r="L79" i="3"/>
  <c r="O79" i="3" s="1"/>
  <c r="D81" i="3"/>
  <c r="G81" i="3" s="1"/>
  <c r="D31" i="3"/>
  <c r="D83" i="3" s="1"/>
  <c r="G83" i="3" s="1"/>
  <c r="G14" i="3"/>
  <c r="B5" i="9" s="1"/>
  <c r="C5" i="9" s="1"/>
  <c r="I5" i="9" s="1"/>
  <c r="H59" i="3"/>
  <c r="P46" i="3"/>
  <c r="F59" i="3"/>
  <c r="E3" i="3"/>
  <c r="AG130" i="15" l="1"/>
  <c r="AC130" i="15"/>
  <c r="T67" i="15"/>
  <c r="W67" i="15" s="1"/>
  <c r="Y67" i="15" s="1"/>
  <c r="T120" i="15"/>
  <c r="W142" i="15"/>
  <c r="AB67" i="15"/>
  <c r="AE67" i="15" s="1"/>
  <c r="AG67" i="15" s="1"/>
  <c r="AB120" i="15"/>
  <c r="AE120" i="15" s="1"/>
  <c r="AG16" i="3"/>
  <c r="AB42" i="3"/>
  <c r="AE42" i="3" s="1"/>
  <c r="AG42" i="3" s="1"/>
  <c r="AC29" i="3"/>
  <c r="AG29" i="3"/>
  <c r="L9" i="6"/>
  <c r="D96" i="15" s="1"/>
  <c r="T96" i="15" s="1"/>
  <c r="W96" i="15" s="1"/>
  <c r="Y96" i="15" s="1"/>
  <c r="L83" i="15"/>
  <c r="AB83" i="15" s="1"/>
  <c r="AE83" i="15" s="1"/>
  <c r="AG83" i="15" s="1"/>
  <c r="L7" i="6"/>
  <c r="D94" i="15" s="1"/>
  <c r="T94" i="15" s="1"/>
  <c r="W94" i="15" s="1"/>
  <c r="Y94" i="15" s="1"/>
  <c r="L81" i="15"/>
  <c r="AB81" i="15" s="1"/>
  <c r="AE81" i="15" s="1"/>
  <c r="AG81" i="15" s="1"/>
  <c r="O59" i="15"/>
  <c r="Q59" i="15" s="1"/>
  <c r="E32" i="15"/>
  <c r="J6" i="6"/>
  <c r="H11" i="6"/>
  <c r="D72" i="15" s="1"/>
  <c r="T72" i="15" s="1"/>
  <c r="W72" i="15" s="1"/>
  <c r="Y72" i="15" s="1"/>
  <c r="L20" i="3"/>
  <c r="G12" i="6"/>
  <c r="L60" i="15" s="1"/>
  <c r="AE17" i="3"/>
  <c r="AG17" i="3" s="1"/>
  <c r="AB43" i="3"/>
  <c r="AE43" i="3" s="1"/>
  <c r="AG43" i="3" s="1"/>
  <c r="L72" i="3"/>
  <c r="O72" i="3" s="1"/>
  <c r="Q72" i="3" s="1"/>
  <c r="AB19" i="3"/>
  <c r="J8" i="6"/>
  <c r="L30" i="3"/>
  <c r="L82" i="3" s="1"/>
  <c r="O82" i="3" s="1"/>
  <c r="M82" i="3" s="1"/>
  <c r="E82" i="3"/>
  <c r="I10" i="6"/>
  <c r="D41" i="3"/>
  <c r="D42" i="3"/>
  <c r="G79" i="3"/>
  <c r="I79" i="3" s="1"/>
  <c r="I27" i="3"/>
  <c r="I14" i="3"/>
  <c r="I23" i="3" s="1"/>
  <c r="D3" i="3" s="1"/>
  <c r="D5" i="9" s="1"/>
  <c r="H5" i="9" s="1"/>
  <c r="H21" i="3"/>
  <c r="Y27" i="3"/>
  <c r="U27" i="3"/>
  <c r="Y30" i="3"/>
  <c r="I83" i="3"/>
  <c r="E83" i="3"/>
  <c r="Q79" i="3"/>
  <c r="I81" i="3"/>
  <c r="E81" i="3"/>
  <c r="V59" i="3"/>
  <c r="F109" i="3"/>
  <c r="G31" i="3"/>
  <c r="I31" i="3" s="1"/>
  <c r="T31" i="3"/>
  <c r="W31" i="3" s="1"/>
  <c r="O27" i="3"/>
  <c r="AB27" i="3"/>
  <c r="AE27" i="3" s="1"/>
  <c r="L31" i="3"/>
  <c r="L83" i="3" s="1"/>
  <c r="O83" i="3" s="1"/>
  <c r="D32" i="3"/>
  <c r="D84" i="3" s="1"/>
  <c r="G84" i="3" s="1"/>
  <c r="L81" i="3"/>
  <c r="O81" i="3" s="1"/>
  <c r="D28" i="3"/>
  <c r="D80" i="3" s="1"/>
  <c r="G80" i="3" s="1"/>
  <c r="P47" i="3"/>
  <c r="H60" i="3"/>
  <c r="X59" i="3"/>
  <c r="U142" i="15" l="1"/>
  <c r="Y142" i="15"/>
  <c r="W120" i="15"/>
  <c r="T126" i="15"/>
  <c r="W126" i="15" s="1"/>
  <c r="AC120" i="15"/>
  <c r="AG120" i="15"/>
  <c r="AG126" i="15" s="1"/>
  <c r="O60" i="15"/>
  <c r="Q60" i="15" s="1"/>
  <c r="AB60" i="15"/>
  <c r="D43" i="3"/>
  <c r="D94" i="3" s="1"/>
  <c r="G94" i="3" s="1"/>
  <c r="E94" i="3" s="1"/>
  <c r="D82" i="15"/>
  <c r="T82" i="15" s="1"/>
  <c r="W82" i="15" s="1"/>
  <c r="Y82" i="15" s="1"/>
  <c r="Q82" i="3"/>
  <c r="D80" i="15"/>
  <c r="K6" i="6"/>
  <c r="O30" i="3"/>
  <c r="Q30" i="3" s="1"/>
  <c r="U30" i="3"/>
  <c r="J10" i="6"/>
  <c r="D84" i="15" s="1"/>
  <c r="T84" i="15" s="1"/>
  <c r="W84" i="15" s="1"/>
  <c r="Y84" i="15" s="1"/>
  <c r="AB30" i="3"/>
  <c r="AE30" i="3" s="1"/>
  <c r="AG30" i="3" s="1"/>
  <c r="K8" i="6"/>
  <c r="H12" i="6"/>
  <c r="L21" i="3"/>
  <c r="G13" i="6"/>
  <c r="AB45" i="3"/>
  <c r="AE45" i="3" s="1"/>
  <c r="AG45" i="3" s="1"/>
  <c r="AE19" i="3"/>
  <c r="AG19" i="3" s="1"/>
  <c r="AB20" i="3"/>
  <c r="L73" i="3"/>
  <c r="O73" i="3" s="1"/>
  <c r="Q73" i="3" s="1"/>
  <c r="O20" i="3"/>
  <c r="I11" i="6"/>
  <c r="D33" i="3"/>
  <c r="L42" i="3"/>
  <c r="E79" i="3"/>
  <c r="M79" i="3"/>
  <c r="D87" i="3"/>
  <c r="F5" i="9"/>
  <c r="E5" i="9"/>
  <c r="Q27" i="3"/>
  <c r="Y31" i="3"/>
  <c r="U31" i="3"/>
  <c r="AG27" i="3"/>
  <c r="AC27" i="3"/>
  <c r="Q81" i="3"/>
  <c r="M81" i="3"/>
  <c r="I84" i="3"/>
  <c r="E84" i="3"/>
  <c r="I80" i="3"/>
  <c r="E80" i="3"/>
  <c r="I94" i="3"/>
  <c r="Q83" i="3"/>
  <c r="M83" i="3"/>
  <c r="D91" i="3"/>
  <c r="G91" i="3" s="1"/>
  <c r="G40" i="3"/>
  <c r="T40" i="3"/>
  <c r="W40" i="3" s="1"/>
  <c r="G43" i="3"/>
  <c r="I43" i="3" s="1"/>
  <c r="T43" i="3"/>
  <c r="W43" i="3" s="1"/>
  <c r="O31" i="3"/>
  <c r="Q31" i="3" s="1"/>
  <c r="AB31" i="3"/>
  <c r="AE31" i="3" s="1"/>
  <c r="G28" i="3"/>
  <c r="T28" i="3"/>
  <c r="W28" i="3" s="1"/>
  <c r="G32" i="3"/>
  <c r="I32" i="3" s="1"/>
  <c r="T32" i="3"/>
  <c r="W32" i="3" s="1"/>
  <c r="L28" i="3"/>
  <c r="L80" i="3" s="1"/>
  <c r="O80" i="3" s="1"/>
  <c r="L32" i="3"/>
  <c r="L84" i="3" s="1"/>
  <c r="O84" i="3" s="1"/>
  <c r="D93" i="3"/>
  <c r="G93" i="3" s="1"/>
  <c r="D44" i="3"/>
  <c r="D95" i="3" s="1"/>
  <c r="G95" i="3" s="1"/>
  <c r="X60" i="3"/>
  <c r="T80" i="15" l="1"/>
  <c r="W80" i="15" s="1"/>
  <c r="Y80" i="15" s="1"/>
  <c r="T132" i="15"/>
  <c r="W132" i="15" s="1"/>
  <c r="Y120" i="15"/>
  <c r="Y126" i="15" s="1"/>
  <c r="U120" i="15"/>
  <c r="AE60" i="15"/>
  <c r="AB61" i="15"/>
  <c r="H13" i="6"/>
  <c r="D73" i="15"/>
  <c r="T73" i="15" s="1"/>
  <c r="W73" i="15" s="1"/>
  <c r="Y73" i="15" s="1"/>
  <c r="L43" i="3"/>
  <c r="L82" i="15"/>
  <c r="AB82" i="15" s="1"/>
  <c r="AE82" i="15" s="1"/>
  <c r="AG82" i="15" s="1"/>
  <c r="L80" i="15"/>
  <c r="L6" i="6"/>
  <c r="D93" i="15" s="1"/>
  <c r="G25" i="7"/>
  <c r="AC30" i="3"/>
  <c r="Q20" i="3"/>
  <c r="AB21" i="3"/>
  <c r="L74" i="3"/>
  <c r="O74" i="3" s="1"/>
  <c r="Q74" i="3" s="1"/>
  <c r="Q75" i="3" s="1"/>
  <c r="E4" i="3" s="1"/>
  <c r="O21" i="3"/>
  <c r="Q21" i="3" s="1"/>
  <c r="AB46" i="3"/>
  <c r="AE46" i="3" s="1"/>
  <c r="AG46" i="3" s="1"/>
  <c r="AE20" i="3"/>
  <c r="AG20" i="3" s="1"/>
  <c r="L8" i="6"/>
  <c r="J11" i="6"/>
  <c r="D85" i="15" s="1"/>
  <c r="T85" i="15" s="1"/>
  <c r="W85" i="15" s="1"/>
  <c r="Y85" i="15" s="1"/>
  <c r="L33" i="3"/>
  <c r="I12" i="6"/>
  <c r="D34" i="3"/>
  <c r="D35" i="3" s="1"/>
  <c r="L70" i="16" s="1"/>
  <c r="D85" i="3"/>
  <c r="G85" i="3" s="1"/>
  <c r="G33" i="3"/>
  <c r="I33" i="3" s="1"/>
  <c r="T33" i="3"/>
  <c r="W33" i="3" s="1"/>
  <c r="K10" i="6"/>
  <c r="L84" i="15" s="1"/>
  <c r="AB84" i="15" s="1"/>
  <c r="AE84" i="15" s="1"/>
  <c r="AG84" i="15" s="1"/>
  <c r="D55" i="3"/>
  <c r="D105" i="3" s="1"/>
  <c r="G105" i="3" s="1"/>
  <c r="E87" i="3"/>
  <c r="O74" i="16" s="1"/>
  <c r="D103" i="3"/>
  <c r="I40" i="3"/>
  <c r="I28" i="3"/>
  <c r="I36" i="3" s="1"/>
  <c r="D5" i="3" s="1"/>
  <c r="I87" i="3"/>
  <c r="E5" i="3" s="1"/>
  <c r="Y28" i="3"/>
  <c r="U28" i="3"/>
  <c r="AG31" i="3"/>
  <c r="AC31" i="3"/>
  <c r="Y43" i="3"/>
  <c r="U43" i="3"/>
  <c r="AC43" i="3"/>
  <c r="Y32" i="3"/>
  <c r="U32" i="3"/>
  <c r="Y40" i="3"/>
  <c r="U40" i="3"/>
  <c r="I91" i="3"/>
  <c r="E91" i="3"/>
  <c r="Q84" i="3"/>
  <c r="M84" i="3"/>
  <c r="I95" i="3"/>
  <c r="E95" i="3"/>
  <c r="I93" i="3"/>
  <c r="E93" i="3"/>
  <c r="Q80" i="3"/>
  <c r="M80" i="3"/>
  <c r="L91" i="3"/>
  <c r="O91" i="3" s="1"/>
  <c r="O43" i="3"/>
  <c r="Q43" i="3" s="1"/>
  <c r="L94" i="3"/>
  <c r="O94" i="3" s="1"/>
  <c r="G44" i="3"/>
  <c r="I44" i="3" s="1"/>
  <c r="T44" i="3"/>
  <c r="W44" i="3" s="1"/>
  <c r="G53" i="3"/>
  <c r="T53" i="3"/>
  <c r="W53" i="3" s="1"/>
  <c r="O32" i="3"/>
  <c r="Q32" i="3" s="1"/>
  <c r="AB32" i="3"/>
  <c r="AE32" i="3" s="1"/>
  <c r="G42" i="3"/>
  <c r="I42" i="3" s="1"/>
  <c r="T42" i="3"/>
  <c r="W42" i="3" s="1"/>
  <c r="O28" i="3"/>
  <c r="Q28" i="3" s="1"/>
  <c r="AB28" i="3"/>
  <c r="AE28" i="3" s="1"/>
  <c r="O40" i="3"/>
  <c r="AB40" i="3"/>
  <c r="AE40" i="3" s="1"/>
  <c r="L44" i="3"/>
  <c r="D57" i="3"/>
  <c r="D107" i="3" s="1"/>
  <c r="G107" i="3" s="1"/>
  <c r="D45" i="3"/>
  <c r="D96" i="3" s="1"/>
  <c r="G96" i="3" s="1"/>
  <c r="D92" i="3"/>
  <c r="G92" i="3" s="1"/>
  <c r="T93" i="15" l="1"/>
  <c r="W93" i="15" s="1"/>
  <c r="Y93" i="15" s="1"/>
  <c r="T144" i="15"/>
  <c r="AB80" i="15"/>
  <c r="AE80" i="15" s="1"/>
  <c r="AG80" i="15" s="1"/>
  <c r="AB132" i="15"/>
  <c r="AE132" i="15" s="1"/>
  <c r="L71" i="16"/>
  <c r="L74" i="16"/>
  <c r="L75" i="16" s="1"/>
  <c r="U132" i="15"/>
  <c r="Y132" i="15"/>
  <c r="Y138" i="15" s="1"/>
  <c r="AG60" i="15"/>
  <c r="AF61" i="15"/>
  <c r="D56" i="3"/>
  <c r="D106" i="3" s="1"/>
  <c r="G106" i="3" s="1"/>
  <c r="I106" i="3" s="1"/>
  <c r="D95" i="15"/>
  <c r="T95" i="15" s="1"/>
  <c r="W95" i="15" s="1"/>
  <c r="Y95" i="15" s="1"/>
  <c r="P22" i="3"/>
  <c r="C6" i="9" s="1"/>
  <c r="Q23" i="3"/>
  <c r="D4" i="3" s="1"/>
  <c r="I85" i="3"/>
  <c r="E85" i="3"/>
  <c r="D86" i="3"/>
  <c r="G86" i="3" s="1"/>
  <c r="T34" i="3"/>
  <c r="W34" i="3" s="1"/>
  <c r="G34" i="3"/>
  <c r="K11" i="6"/>
  <c r="L85" i="15" s="1"/>
  <c r="AB85" i="15" s="1"/>
  <c r="AE85" i="15" s="1"/>
  <c r="AG85" i="15" s="1"/>
  <c r="D46" i="3"/>
  <c r="L10" i="6"/>
  <c r="D97" i="15" s="1"/>
  <c r="T97" i="15" s="1"/>
  <c r="W97" i="15" s="1"/>
  <c r="Y97" i="15" s="1"/>
  <c r="AB47" i="3"/>
  <c r="AE47" i="3" s="1"/>
  <c r="AG47" i="3" s="1"/>
  <c r="AE21" i="3"/>
  <c r="AG21" i="3" s="1"/>
  <c r="AG23" i="3" s="1"/>
  <c r="C4" i="3" s="1"/>
  <c r="J12" i="6"/>
  <c r="D86" i="15" s="1"/>
  <c r="T86" i="15" s="1"/>
  <c r="W86" i="15" s="1"/>
  <c r="Y86" i="15" s="1"/>
  <c r="L34" i="3"/>
  <c r="U33" i="3"/>
  <c r="Y33" i="3"/>
  <c r="Y36" i="3" s="1"/>
  <c r="C5" i="3" s="1"/>
  <c r="L85" i="3"/>
  <c r="O85" i="3" s="1"/>
  <c r="O33" i="3"/>
  <c r="Q33" i="3" s="1"/>
  <c r="AB33" i="3"/>
  <c r="AE33" i="3" s="1"/>
  <c r="I13" i="6"/>
  <c r="T56" i="3"/>
  <c r="W56" i="3" s="1"/>
  <c r="Y56" i="3" s="1"/>
  <c r="E106" i="3"/>
  <c r="G56" i="3"/>
  <c r="I56" i="3" s="1"/>
  <c r="Q36" i="3"/>
  <c r="D6" i="3" s="1"/>
  <c r="G103" i="3"/>
  <c r="I103" i="3" s="1"/>
  <c r="I53" i="3"/>
  <c r="Q40" i="3"/>
  <c r="Q87" i="3"/>
  <c r="E6" i="3" s="1"/>
  <c r="AG32" i="3"/>
  <c r="AC32" i="3"/>
  <c r="AG28" i="3"/>
  <c r="AC28" i="3"/>
  <c r="AG40" i="3"/>
  <c r="AG49" i="3" s="1"/>
  <c r="C8" i="3" s="1"/>
  <c r="AC40" i="3"/>
  <c r="Y42" i="3"/>
  <c r="U42" i="3"/>
  <c r="AC42" i="3"/>
  <c r="Y53" i="3"/>
  <c r="U53" i="3"/>
  <c r="Y44" i="3"/>
  <c r="U44" i="3"/>
  <c r="AC44" i="3"/>
  <c r="Q91" i="3"/>
  <c r="M91" i="3"/>
  <c r="I107" i="3"/>
  <c r="I92" i="3"/>
  <c r="E92" i="3"/>
  <c r="I105" i="3"/>
  <c r="Q94" i="3"/>
  <c r="M94" i="3"/>
  <c r="I96" i="3"/>
  <c r="E96" i="3"/>
  <c r="O42" i="3"/>
  <c r="Q42" i="3" s="1"/>
  <c r="L93" i="3"/>
  <c r="O93" i="3" s="1"/>
  <c r="E105" i="3" s="1"/>
  <c r="O44" i="3"/>
  <c r="Q44" i="3" s="1"/>
  <c r="L95" i="3"/>
  <c r="O95" i="3" s="1"/>
  <c r="G45" i="3"/>
  <c r="I45" i="3" s="1"/>
  <c r="T45" i="3"/>
  <c r="W45" i="3" s="1"/>
  <c r="G57" i="3"/>
  <c r="I57" i="3" s="1"/>
  <c r="T57" i="3"/>
  <c r="W57" i="3" s="1"/>
  <c r="G41" i="3"/>
  <c r="I41" i="3" s="1"/>
  <c r="T41" i="3"/>
  <c r="W41" i="3" s="1"/>
  <c r="G55" i="3"/>
  <c r="I55" i="3" s="1"/>
  <c r="T55" i="3"/>
  <c r="W55" i="3" s="1"/>
  <c r="D54" i="3"/>
  <c r="D104" i="3" s="1"/>
  <c r="G104" i="3" s="1"/>
  <c r="L41" i="3"/>
  <c r="D58" i="3"/>
  <c r="D108" i="3" s="1"/>
  <c r="G108" i="3" s="1"/>
  <c r="L45" i="3"/>
  <c r="L78" i="16" l="1"/>
  <c r="AG132" i="15"/>
  <c r="AG138" i="15" s="1"/>
  <c r="AC132" i="15"/>
  <c r="W144" i="15"/>
  <c r="T150" i="15"/>
  <c r="O35" i="3"/>
  <c r="B8" i="9" s="1"/>
  <c r="C8" i="9" s="1"/>
  <c r="D8" i="9" s="1"/>
  <c r="H8" i="9" s="1"/>
  <c r="I34" i="3"/>
  <c r="G35" i="3"/>
  <c r="B7" i="9" s="1"/>
  <c r="C7" i="9" s="1"/>
  <c r="D7" i="9" s="1"/>
  <c r="H7" i="9" s="1"/>
  <c r="E7" i="9" s="1"/>
  <c r="D6" i="9"/>
  <c r="H6" i="9" s="1"/>
  <c r="I6" i="9"/>
  <c r="U34" i="3"/>
  <c r="Q85" i="3"/>
  <c r="M85" i="3"/>
  <c r="K12" i="6"/>
  <c r="L86" i="15" s="1"/>
  <c r="AB86" i="15" s="1"/>
  <c r="AE86" i="15" s="1"/>
  <c r="AG86" i="15" s="1"/>
  <c r="D47" i="3"/>
  <c r="L11" i="6"/>
  <c r="D98" i="15" s="1"/>
  <c r="T98" i="15" s="1"/>
  <c r="W98" i="15" s="1"/>
  <c r="Y98" i="15" s="1"/>
  <c r="L46" i="3"/>
  <c r="E86" i="3"/>
  <c r="I86" i="3"/>
  <c r="AG33" i="3"/>
  <c r="AG36" i="3" s="1"/>
  <c r="C6" i="3" s="1"/>
  <c r="AC33" i="3"/>
  <c r="J13" i="6"/>
  <c r="L86" i="3"/>
  <c r="O86" i="3" s="1"/>
  <c r="O34" i="3"/>
  <c r="Q34" i="3" s="1"/>
  <c r="AB34" i="3"/>
  <c r="AE34" i="3" s="1"/>
  <c r="D97" i="3"/>
  <c r="G97" i="3" s="1"/>
  <c r="T46" i="3"/>
  <c r="W46" i="3" s="1"/>
  <c r="G46" i="3"/>
  <c r="I46" i="3" s="1"/>
  <c r="U56" i="3"/>
  <c r="E103" i="3"/>
  <c r="D111" i="3"/>
  <c r="D62" i="3"/>
  <c r="G48" i="3"/>
  <c r="B9" i="9" s="1"/>
  <c r="Y57" i="3"/>
  <c r="U57" i="3"/>
  <c r="Y45" i="3"/>
  <c r="U45" i="3"/>
  <c r="AC45" i="3"/>
  <c r="Y41" i="3"/>
  <c r="U41" i="3"/>
  <c r="AC41" i="3"/>
  <c r="Y55" i="3"/>
  <c r="U55" i="3"/>
  <c r="I99" i="3"/>
  <c r="E7" i="3" s="1"/>
  <c r="Q95" i="3"/>
  <c r="M95" i="3"/>
  <c r="E107" i="3"/>
  <c r="Q93" i="3"/>
  <c r="M93" i="3"/>
  <c r="I108" i="3"/>
  <c r="I104" i="3"/>
  <c r="I49" i="3"/>
  <c r="D7" i="3" s="1"/>
  <c r="O45" i="3"/>
  <c r="Q45" i="3" s="1"/>
  <c r="L96" i="3"/>
  <c r="O96" i="3" s="1"/>
  <c r="O41" i="3"/>
  <c r="Q41" i="3" s="1"/>
  <c r="L92" i="3"/>
  <c r="O92" i="3" s="1"/>
  <c r="G58" i="3"/>
  <c r="I58" i="3" s="1"/>
  <c r="T58" i="3"/>
  <c r="W58" i="3" s="1"/>
  <c r="G54" i="3"/>
  <c r="I54" i="3" s="1"/>
  <c r="T54" i="3"/>
  <c r="W54" i="3" s="1"/>
  <c r="U144" i="15" l="1"/>
  <c r="Y144" i="15"/>
  <c r="Y150" i="15" s="1"/>
  <c r="I7" i="9"/>
  <c r="F7" i="9"/>
  <c r="I8" i="9"/>
  <c r="E6" i="9"/>
  <c r="F6" i="9"/>
  <c r="L97" i="3"/>
  <c r="O97" i="3" s="1"/>
  <c r="O46" i="3"/>
  <c r="Q46" i="3" s="1"/>
  <c r="D98" i="3"/>
  <c r="G98" i="3" s="1"/>
  <c r="G47" i="3"/>
  <c r="I47" i="3" s="1"/>
  <c r="T47" i="3"/>
  <c r="W47" i="3" s="1"/>
  <c r="AC34" i="3"/>
  <c r="AG34" i="3"/>
  <c r="D59" i="3"/>
  <c r="L12" i="6"/>
  <c r="D99" i="15" s="1"/>
  <c r="T99" i="15" s="1"/>
  <c r="K13" i="6"/>
  <c r="L47" i="3"/>
  <c r="U46" i="3"/>
  <c r="AC46" i="3"/>
  <c r="Y46" i="3"/>
  <c r="E97" i="3"/>
  <c r="I97" i="3"/>
  <c r="Q86" i="3"/>
  <c r="M86" i="3"/>
  <c r="G62" i="3"/>
  <c r="B11" i="9" s="1"/>
  <c r="C9" i="9"/>
  <c r="I9" i="9" s="1"/>
  <c r="O48" i="3"/>
  <c r="B10" i="9" s="1"/>
  <c r="F8" i="9"/>
  <c r="E8" i="9"/>
  <c r="I111" i="3"/>
  <c r="E9" i="3" s="1"/>
  <c r="Y49" i="3"/>
  <c r="C7" i="3" s="1"/>
  <c r="Y54" i="3"/>
  <c r="U54" i="3"/>
  <c r="Y58" i="3"/>
  <c r="U58" i="3"/>
  <c r="Q49" i="3"/>
  <c r="D8" i="3" s="1"/>
  <c r="Q92" i="3"/>
  <c r="M92" i="3"/>
  <c r="E104" i="3"/>
  <c r="Q96" i="3"/>
  <c r="M96" i="3"/>
  <c r="E108" i="3"/>
  <c r="I63" i="3"/>
  <c r="D9" i="3" s="1"/>
  <c r="W99" i="15" l="1"/>
  <c r="Y99" i="15" s="1"/>
  <c r="T101" i="15"/>
  <c r="I98" i="3"/>
  <c r="E98" i="3"/>
  <c r="L13" i="6"/>
  <c r="D60" i="3"/>
  <c r="O47" i="3"/>
  <c r="Q47" i="3" s="1"/>
  <c r="L98" i="3"/>
  <c r="O98" i="3" s="1"/>
  <c r="D109" i="3"/>
  <c r="G109" i="3" s="1"/>
  <c r="G59" i="3"/>
  <c r="I59" i="3" s="1"/>
  <c r="T59" i="3"/>
  <c r="W59" i="3" s="1"/>
  <c r="Q97" i="3"/>
  <c r="M97" i="3"/>
  <c r="Y47" i="3"/>
  <c r="U47" i="3"/>
  <c r="AC47" i="3"/>
  <c r="D9" i="9"/>
  <c r="H9" i="9" s="1"/>
  <c r="E9" i="9" s="1"/>
  <c r="C11" i="9"/>
  <c r="D11" i="9" s="1"/>
  <c r="H11" i="9" s="1"/>
  <c r="C10" i="9"/>
  <c r="D10" i="9" s="1"/>
  <c r="H10" i="9" s="1"/>
  <c r="F10" i="9" s="1"/>
  <c r="Q99" i="3"/>
  <c r="E8" i="3" s="1"/>
  <c r="Y61" i="3"/>
  <c r="C9" i="3" s="1"/>
  <c r="Q98" i="3" l="1"/>
  <c r="M98" i="3"/>
  <c r="D110" i="3"/>
  <c r="G110" i="3" s="1"/>
  <c r="I110" i="3" s="1"/>
  <c r="T60" i="3"/>
  <c r="W60" i="3" s="1"/>
  <c r="G60" i="3"/>
  <c r="I60" i="3" s="1"/>
  <c r="Y59" i="3"/>
  <c r="U59" i="3"/>
  <c r="I109" i="3"/>
  <c r="E109" i="3"/>
  <c r="F9" i="9"/>
  <c r="I11" i="9"/>
  <c r="F11" i="9"/>
  <c r="E11" i="9"/>
  <c r="I10" i="9"/>
  <c r="E10" i="9"/>
  <c r="N87" i="3"/>
  <c r="G87" i="3"/>
  <c r="U60" i="3" l="1"/>
  <c r="Y60" i="3"/>
  <c r="E110" i="3"/>
  <c r="C24" i="6"/>
  <c r="D24" i="6" s="1"/>
  <c r="F24" i="6" s="1"/>
  <c r="C22" i="6"/>
  <c r="D22" i="6" s="1"/>
  <c r="F22" i="6" s="1"/>
  <c r="D29" i="15" s="1"/>
  <c r="C19" i="6"/>
  <c r="F27" i="11"/>
  <c r="F16" i="6"/>
  <c r="C20" i="6" s="1"/>
  <c r="C26" i="6"/>
  <c r="D26" i="6" s="1"/>
  <c r="F26" i="6" s="1"/>
  <c r="G26" i="6" l="1"/>
  <c r="H26" i="6" s="1"/>
  <c r="I26" i="6" s="1"/>
  <c r="J26" i="6" s="1"/>
  <c r="K26" i="6" s="1"/>
  <c r="L26" i="6" s="1"/>
  <c r="D33" i="15"/>
  <c r="D58" i="15"/>
  <c r="D31" i="15"/>
  <c r="F39" i="11"/>
  <c r="N53" i="15"/>
  <c r="O53" i="15" s="1"/>
  <c r="D19" i="6"/>
  <c r="L34" i="12"/>
  <c r="L41" i="12" s="1"/>
  <c r="D20" i="6"/>
  <c r="F20" i="6" s="1"/>
  <c r="D27" i="15" s="1"/>
  <c r="D42" i="11"/>
  <c r="T42" i="11" s="1"/>
  <c r="D56" i="15"/>
  <c r="C23" i="6"/>
  <c r="G22" i="6"/>
  <c r="R17" i="12"/>
  <c r="R18" i="12" s="1"/>
  <c r="R20" i="12" s="1"/>
  <c r="E24" i="12" s="1"/>
  <c r="C25" i="6"/>
  <c r="D44" i="11"/>
  <c r="G24" i="6"/>
  <c r="C21" i="6"/>
  <c r="D21" i="6" s="1"/>
  <c r="F19" i="6" l="1"/>
  <c r="D26" i="15" s="1"/>
  <c r="B4" i="16"/>
  <c r="T56" i="15"/>
  <c r="T109" i="15"/>
  <c r="W109" i="15" s="1"/>
  <c r="T58" i="15"/>
  <c r="T111" i="15"/>
  <c r="W111" i="15" s="1"/>
  <c r="D23" i="6"/>
  <c r="F23" i="6" s="1"/>
  <c r="D25" i="6"/>
  <c r="F25" i="6" s="1"/>
  <c r="L35" i="12"/>
  <c r="L36" i="12" s="1"/>
  <c r="T95" i="11"/>
  <c r="W95" i="11" s="1"/>
  <c r="F66" i="15"/>
  <c r="G66" i="15" s="1"/>
  <c r="D54" i="15"/>
  <c r="G20" i="6"/>
  <c r="L40" i="11" s="1"/>
  <c r="D40" i="11"/>
  <c r="T94" i="11" s="1"/>
  <c r="W94" i="11" s="1"/>
  <c r="L42" i="11"/>
  <c r="H22" i="6"/>
  <c r="T44" i="11"/>
  <c r="T97" i="11"/>
  <c r="W97" i="11" s="1"/>
  <c r="F21" i="6"/>
  <c r="C27" i="6"/>
  <c r="L44" i="11"/>
  <c r="H24" i="6"/>
  <c r="L32" i="12" l="1"/>
  <c r="D39" i="11"/>
  <c r="I39" i="11" s="1"/>
  <c r="G19" i="6"/>
  <c r="D53" i="15"/>
  <c r="T106" i="15" s="1"/>
  <c r="W106" i="15" s="1"/>
  <c r="Y106" i="15" s="1"/>
  <c r="Y114" i="15" s="1"/>
  <c r="G3" i="15" s="1"/>
  <c r="T54" i="15"/>
  <c r="T108" i="15"/>
  <c r="W108" i="15" s="1"/>
  <c r="H53" i="15"/>
  <c r="P53" i="15" s="1"/>
  <c r="H66" i="15" s="1"/>
  <c r="P66" i="15" s="1"/>
  <c r="D45" i="11"/>
  <c r="T45" i="11" s="1"/>
  <c r="D59" i="15"/>
  <c r="T112" i="15" s="1"/>
  <c r="W112" i="15" s="1"/>
  <c r="D32" i="15"/>
  <c r="G25" i="6"/>
  <c r="H25" i="6" s="1"/>
  <c r="I25" i="6" s="1"/>
  <c r="J25" i="6" s="1"/>
  <c r="K25" i="6" s="1"/>
  <c r="L25" i="6" s="1"/>
  <c r="D30" i="15"/>
  <c r="G23" i="6"/>
  <c r="H23" i="6" s="1"/>
  <c r="D57" i="15"/>
  <c r="D43" i="11"/>
  <c r="T96" i="11" s="1"/>
  <c r="W96" i="11" s="1"/>
  <c r="L37" i="12"/>
  <c r="L38" i="12" s="1"/>
  <c r="G39" i="11" s="1"/>
  <c r="H20" i="6"/>
  <c r="I20" i="6" s="1"/>
  <c r="T40" i="11"/>
  <c r="D55" i="15"/>
  <c r="D28" i="15"/>
  <c r="N66" i="15"/>
  <c r="O66" i="15" s="1"/>
  <c r="G69" i="15"/>
  <c r="I69" i="15" s="1"/>
  <c r="G71" i="15"/>
  <c r="I71" i="15" s="1"/>
  <c r="C3" i="15"/>
  <c r="I62" i="15"/>
  <c r="D46" i="11"/>
  <c r="D60" i="15"/>
  <c r="O40" i="11"/>
  <c r="Q40" i="11" s="1"/>
  <c r="AB94" i="11"/>
  <c r="AE94" i="11" s="1"/>
  <c r="AG94" i="11" s="1"/>
  <c r="AB40" i="11"/>
  <c r="H19" i="6"/>
  <c r="L39" i="11"/>
  <c r="F27" i="6"/>
  <c r="I48" i="11"/>
  <c r="E3" i="11" s="1"/>
  <c r="E14" i="11" s="1"/>
  <c r="T39" i="11"/>
  <c r="W39" i="11" s="1"/>
  <c r="Y39" i="11" s="1"/>
  <c r="Y48" i="11" s="1"/>
  <c r="C3" i="11" s="1"/>
  <c r="T92" i="11"/>
  <c r="W92" i="11" s="1"/>
  <c r="Y92" i="11" s="1"/>
  <c r="Y100" i="11" s="1"/>
  <c r="G3" i="11" s="1"/>
  <c r="D55" i="11"/>
  <c r="I22" i="6"/>
  <c r="D57" i="11"/>
  <c r="I24" i="6"/>
  <c r="D41" i="11"/>
  <c r="G21" i="6"/>
  <c r="O44" i="11"/>
  <c r="Q44" i="11" s="1"/>
  <c r="AB44" i="11"/>
  <c r="AB97" i="11"/>
  <c r="AE97" i="11" s="1"/>
  <c r="AG97" i="11" s="1"/>
  <c r="AB95" i="11"/>
  <c r="AE95" i="11" s="1"/>
  <c r="AG95" i="11" s="1"/>
  <c r="AB42" i="11"/>
  <c r="O42" i="11"/>
  <c r="Q42" i="11" s="1"/>
  <c r="T43" i="11" l="1"/>
  <c r="AC106" i="15"/>
  <c r="T53" i="15"/>
  <c r="X53" i="15" s="1"/>
  <c r="AF53" i="15" s="1"/>
  <c r="T57" i="15"/>
  <c r="T110" i="15"/>
  <c r="W110" i="15" s="1"/>
  <c r="T60" i="15"/>
  <c r="T113" i="15"/>
  <c r="W113" i="15" s="1"/>
  <c r="T55" i="15"/>
  <c r="T107" i="15"/>
  <c r="W107" i="15" s="1"/>
  <c r="AC107" i="15" s="1"/>
  <c r="T98" i="11"/>
  <c r="W98" i="11" s="1"/>
  <c r="L45" i="11"/>
  <c r="AB45" i="11" s="1"/>
  <c r="T59" i="15"/>
  <c r="L43" i="11"/>
  <c r="AB96" i="11" s="1"/>
  <c r="AE96" i="11" s="1"/>
  <c r="AG96" i="11" s="1"/>
  <c r="D53" i="11"/>
  <c r="T106" i="11" s="1"/>
  <c r="W106" i="11" s="1"/>
  <c r="H79" i="15"/>
  <c r="P79" i="15" s="1"/>
  <c r="I66" i="15"/>
  <c r="Q53" i="15"/>
  <c r="E3" i="15"/>
  <c r="E14" i="15" s="1"/>
  <c r="C45" i="12"/>
  <c r="D47" i="11"/>
  <c r="Q66" i="15"/>
  <c r="F79" i="15"/>
  <c r="G79" i="15" s="1"/>
  <c r="N69" i="15"/>
  <c r="F67" i="15"/>
  <c r="G67" i="15" s="1"/>
  <c r="I67" i="15" s="1"/>
  <c r="F72" i="15"/>
  <c r="G72" i="15" s="1"/>
  <c r="I72" i="15" s="1"/>
  <c r="N71" i="15"/>
  <c r="G70" i="15"/>
  <c r="I70" i="15" s="1"/>
  <c r="T46" i="11"/>
  <c r="T99" i="11"/>
  <c r="W99" i="11" s="1"/>
  <c r="M39" i="11"/>
  <c r="E52" i="11" s="1"/>
  <c r="E61" i="11" s="1"/>
  <c r="Q39" i="11"/>
  <c r="L46" i="11"/>
  <c r="AB46" i="11" s="1"/>
  <c r="E33" i="15"/>
  <c r="D61" i="15"/>
  <c r="J24" i="6"/>
  <c r="L57" i="11"/>
  <c r="I19" i="6"/>
  <c r="D52" i="11"/>
  <c r="T57" i="11"/>
  <c r="W57" i="11" s="1"/>
  <c r="T109" i="11"/>
  <c r="W109" i="11" s="1"/>
  <c r="G57" i="11"/>
  <c r="I57" i="11" s="1"/>
  <c r="J22" i="6"/>
  <c r="L55" i="11"/>
  <c r="O39" i="11"/>
  <c r="AB92" i="11"/>
  <c r="AE92" i="11" s="1"/>
  <c r="AB39" i="11"/>
  <c r="AE39" i="11" s="1"/>
  <c r="AG39" i="11" s="1"/>
  <c r="D58" i="11"/>
  <c r="T107" i="11"/>
  <c r="W107" i="11" s="1"/>
  <c r="T55" i="11"/>
  <c r="W55" i="11" s="1"/>
  <c r="G55" i="11"/>
  <c r="I55" i="11" s="1"/>
  <c r="AB70" i="11"/>
  <c r="AE70" i="11" s="1"/>
  <c r="AE44" i="11"/>
  <c r="AG44" i="11" s="1"/>
  <c r="AE40" i="11"/>
  <c r="AG40" i="11" s="1"/>
  <c r="AB66" i="11"/>
  <c r="AE66" i="11" s="1"/>
  <c r="G27" i="6"/>
  <c r="AE42" i="11"/>
  <c r="AG42" i="11" s="1"/>
  <c r="AB68" i="11"/>
  <c r="AE68" i="11" s="1"/>
  <c r="J20" i="6"/>
  <c r="L53" i="11"/>
  <c r="L41" i="11"/>
  <c r="H21" i="6"/>
  <c r="D56" i="11"/>
  <c r="I23" i="6"/>
  <c r="T93" i="11"/>
  <c r="W93" i="11" s="1"/>
  <c r="T41" i="11"/>
  <c r="T61" i="15" l="1"/>
  <c r="O45" i="11"/>
  <c r="Q45" i="11" s="1"/>
  <c r="AB98" i="11"/>
  <c r="AE98" i="11" s="1"/>
  <c r="AG98" i="11" s="1"/>
  <c r="G53" i="11"/>
  <c r="I53" i="11" s="1"/>
  <c r="O43" i="11"/>
  <c r="Q43" i="11" s="1"/>
  <c r="AB43" i="11"/>
  <c r="AE43" i="11" s="1"/>
  <c r="AG43" i="11" s="1"/>
  <c r="X66" i="15"/>
  <c r="AG53" i="15"/>
  <c r="AG62" i="15" s="1"/>
  <c r="T53" i="11"/>
  <c r="W53" i="11" s="1"/>
  <c r="U53" i="11" s="1"/>
  <c r="I79" i="15"/>
  <c r="H92" i="15"/>
  <c r="F82" i="15"/>
  <c r="G82" i="15" s="1"/>
  <c r="I82" i="15" s="1"/>
  <c r="O69" i="15"/>
  <c r="Q69" i="15" s="1"/>
  <c r="F84" i="15"/>
  <c r="G84" i="15" s="1"/>
  <c r="I84" i="15" s="1"/>
  <c r="O71" i="15"/>
  <c r="Q71" i="15" s="1"/>
  <c r="M52" i="11"/>
  <c r="M61" i="11" s="1"/>
  <c r="F52" i="11"/>
  <c r="V52" i="11" s="1"/>
  <c r="AD52" i="11" s="1"/>
  <c r="N79" i="15"/>
  <c r="O79" i="15" s="1"/>
  <c r="Q79" i="15" s="1"/>
  <c r="N70" i="15"/>
  <c r="G68" i="15"/>
  <c r="I68" i="15" s="1"/>
  <c r="N67" i="15"/>
  <c r="N72" i="15"/>
  <c r="H27" i="6"/>
  <c r="O46" i="11"/>
  <c r="Q46" i="11" s="1"/>
  <c r="AB99" i="11"/>
  <c r="AE99" i="11" s="1"/>
  <c r="AG99" i="11" s="1"/>
  <c r="L61" i="15"/>
  <c r="AB109" i="11"/>
  <c r="AE109" i="11" s="1"/>
  <c r="AB57" i="11"/>
  <c r="AE57" i="11" s="1"/>
  <c r="O57" i="11"/>
  <c r="Q57" i="11" s="1"/>
  <c r="AG68" i="11"/>
  <c r="AB107" i="11"/>
  <c r="AE107" i="11" s="1"/>
  <c r="AB55" i="11"/>
  <c r="AE55" i="11" s="1"/>
  <c r="O55" i="11"/>
  <c r="Q55" i="11" s="1"/>
  <c r="K24" i="6"/>
  <c r="D70" i="11"/>
  <c r="AC92" i="11"/>
  <c r="AG92" i="11"/>
  <c r="U107" i="11"/>
  <c r="Y107" i="11"/>
  <c r="D54" i="11"/>
  <c r="I21" i="6"/>
  <c r="U109" i="11"/>
  <c r="Y109" i="11"/>
  <c r="K20" i="6"/>
  <c r="D66" i="11"/>
  <c r="J19" i="6"/>
  <c r="L52" i="11"/>
  <c r="Y55" i="11"/>
  <c r="U55" i="11"/>
  <c r="U106" i="11"/>
  <c r="Y106" i="11"/>
  <c r="L58" i="11"/>
  <c r="AB41" i="11"/>
  <c r="AB93" i="11"/>
  <c r="AE93" i="11" s="1"/>
  <c r="O41" i="11"/>
  <c r="Q41" i="11" s="1"/>
  <c r="Y57" i="11"/>
  <c r="U57" i="11"/>
  <c r="AG70" i="11"/>
  <c r="AE45" i="11"/>
  <c r="AG45" i="11" s="1"/>
  <c r="AB71" i="11"/>
  <c r="AE71" i="11" s="1"/>
  <c r="J23" i="6"/>
  <c r="L56" i="11"/>
  <c r="K22" i="6"/>
  <c r="D68" i="11"/>
  <c r="T108" i="11"/>
  <c r="W108" i="11" s="1"/>
  <c r="G56" i="11"/>
  <c r="I56" i="11" s="1"/>
  <c r="T56" i="11"/>
  <c r="W56" i="11" s="1"/>
  <c r="AG66" i="11"/>
  <c r="T58" i="11"/>
  <c r="W58" i="11" s="1"/>
  <c r="G58" i="11"/>
  <c r="I58" i="11" s="1"/>
  <c r="T110" i="11"/>
  <c r="W110" i="11" s="1"/>
  <c r="L47" i="11"/>
  <c r="AB53" i="11"/>
  <c r="AE53" i="11" s="1"/>
  <c r="AB106" i="11"/>
  <c r="AE106" i="11" s="1"/>
  <c r="O53" i="11"/>
  <c r="Q53" i="11" s="1"/>
  <c r="T52" i="11"/>
  <c r="T104" i="11"/>
  <c r="AB72" i="11"/>
  <c r="AE72" i="11" s="1"/>
  <c r="AE46" i="11"/>
  <c r="AG46" i="11" s="1"/>
  <c r="AB69" i="11" l="1"/>
  <c r="AE69" i="11" s="1"/>
  <c r="E65" i="11"/>
  <c r="E74" i="11" s="1"/>
  <c r="Y53" i="11"/>
  <c r="AF66" i="15"/>
  <c r="Y66" i="15"/>
  <c r="Y75" i="15" s="1"/>
  <c r="N84" i="15"/>
  <c r="O84" i="15" s="1"/>
  <c r="Q84" i="15" s="1"/>
  <c r="F85" i="15"/>
  <c r="G85" i="15" s="1"/>
  <c r="I85" i="15" s="1"/>
  <c r="O72" i="15"/>
  <c r="Q72" i="15" s="1"/>
  <c r="F80" i="15"/>
  <c r="G80" i="15" s="1"/>
  <c r="I80" i="15" s="1"/>
  <c r="O67" i="15"/>
  <c r="Q67" i="15" s="1"/>
  <c r="N82" i="15"/>
  <c r="O82" i="15" s="1"/>
  <c r="Q82" i="15" s="1"/>
  <c r="F83" i="15"/>
  <c r="G83" i="15" s="1"/>
  <c r="I83" i="15" s="1"/>
  <c r="O70" i="15"/>
  <c r="Q70" i="15" s="1"/>
  <c r="G52" i="11"/>
  <c r="I52" i="11" s="1"/>
  <c r="Q62" i="15"/>
  <c r="M26" i="16" s="1"/>
  <c r="P61" i="15"/>
  <c r="P47" i="11"/>
  <c r="N52" i="11"/>
  <c r="AD104" i="11" s="1"/>
  <c r="V104" i="11"/>
  <c r="V112" i="11" s="1"/>
  <c r="AD112" i="11" s="1"/>
  <c r="F92" i="15"/>
  <c r="G92" i="15" s="1"/>
  <c r="I92" i="15" s="1"/>
  <c r="F60" i="11"/>
  <c r="V60" i="11" s="1"/>
  <c r="AD60" i="11" s="1"/>
  <c r="G4" i="15"/>
  <c r="C4" i="15"/>
  <c r="G73" i="15"/>
  <c r="I73" i="15" s="1"/>
  <c r="N68" i="15"/>
  <c r="D59" i="11"/>
  <c r="G59" i="11" s="1"/>
  <c r="I59" i="11" s="1"/>
  <c r="W52" i="11"/>
  <c r="Y52" i="11" s="1"/>
  <c r="L59" i="11"/>
  <c r="AB111" i="11" s="1"/>
  <c r="AE111" i="11" s="1"/>
  <c r="AG69" i="11"/>
  <c r="J21" i="6"/>
  <c r="L54" i="11"/>
  <c r="AB108" i="11"/>
  <c r="AE108" i="11" s="1"/>
  <c r="AB56" i="11"/>
  <c r="AE56" i="11" s="1"/>
  <c r="O56" i="11"/>
  <c r="Q56" i="11" s="1"/>
  <c r="AC107" i="11"/>
  <c r="AG107" i="11"/>
  <c r="AC93" i="11"/>
  <c r="AG93" i="11"/>
  <c r="AG100" i="11" s="1"/>
  <c r="G4" i="11" s="1"/>
  <c r="L24" i="6"/>
  <c r="L70" i="11"/>
  <c r="AG109" i="11"/>
  <c r="AC109" i="11"/>
  <c r="D69" i="11"/>
  <c r="K23" i="6"/>
  <c r="AG53" i="11"/>
  <c r="AC53" i="11"/>
  <c r="Q48" i="11"/>
  <c r="E4" i="11" s="1"/>
  <c r="F14" i="11" s="1"/>
  <c r="Y110" i="11"/>
  <c r="U110" i="11"/>
  <c r="AG71" i="11"/>
  <c r="AE41" i="11"/>
  <c r="AG41" i="11" s="1"/>
  <c r="AG48" i="11" s="1"/>
  <c r="C4" i="11" s="1"/>
  <c r="AB67" i="11"/>
  <c r="AE67" i="11" s="1"/>
  <c r="T105" i="11"/>
  <c r="W105" i="11" s="1"/>
  <c r="T54" i="11"/>
  <c r="W54" i="11" s="1"/>
  <c r="G54" i="11"/>
  <c r="I54" i="11" s="1"/>
  <c r="AC57" i="11"/>
  <c r="AG57" i="11"/>
  <c r="U108" i="11"/>
  <c r="Y108" i="11"/>
  <c r="AB58" i="11"/>
  <c r="AE58" i="11" s="1"/>
  <c r="AB110" i="11"/>
  <c r="AE110" i="11" s="1"/>
  <c r="O58" i="11"/>
  <c r="Q58" i="11" s="1"/>
  <c r="U58" i="11"/>
  <c r="Y58" i="11"/>
  <c r="T119" i="11"/>
  <c r="W119" i="11" s="1"/>
  <c r="G68" i="11"/>
  <c r="I68" i="11" s="1"/>
  <c r="T68" i="11"/>
  <c r="W68" i="11" s="1"/>
  <c r="D71" i="11"/>
  <c r="D65" i="11"/>
  <c r="K19" i="6"/>
  <c r="L20" i="6"/>
  <c r="L66" i="11"/>
  <c r="AG106" i="11"/>
  <c r="AC106" i="11"/>
  <c r="AG72" i="11"/>
  <c r="U56" i="11"/>
  <c r="Y56" i="11"/>
  <c r="I27" i="6"/>
  <c r="T121" i="11"/>
  <c r="W121" i="11" s="1"/>
  <c r="T70" i="11"/>
  <c r="W70" i="11" s="1"/>
  <c r="G70" i="11"/>
  <c r="I70" i="11" s="1"/>
  <c r="AB52" i="11"/>
  <c r="AE52" i="11" s="1"/>
  <c r="AB104" i="11"/>
  <c r="L22" i="6"/>
  <c r="L68" i="11"/>
  <c r="T66" i="11"/>
  <c r="W66" i="11" s="1"/>
  <c r="G66" i="11"/>
  <c r="I66" i="11" s="1"/>
  <c r="T118" i="11"/>
  <c r="W118" i="11" s="1"/>
  <c r="AC55" i="11"/>
  <c r="AG55" i="11"/>
  <c r="L5" i="16" l="1"/>
  <c r="N85" i="15"/>
  <c r="O85" i="15" s="1"/>
  <c r="Q85" i="15" s="1"/>
  <c r="D45" i="12"/>
  <c r="D46" i="12" s="1"/>
  <c r="M28" i="16" s="1"/>
  <c r="X79" i="15"/>
  <c r="AG66" i="15"/>
  <c r="AG75" i="15" s="1"/>
  <c r="F97" i="15"/>
  <c r="G97" i="15" s="1"/>
  <c r="I97" i="15" s="1"/>
  <c r="N83" i="15"/>
  <c r="O83" i="15" s="1"/>
  <c r="Q83" i="15" s="1"/>
  <c r="N80" i="15"/>
  <c r="O80" i="15" s="1"/>
  <c r="Q80" i="15" s="1"/>
  <c r="F95" i="15"/>
  <c r="G95" i="15" s="1"/>
  <c r="I95" i="15" s="1"/>
  <c r="F81" i="15"/>
  <c r="G81" i="15" s="1"/>
  <c r="I81" i="15" s="1"/>
  <c r="O68" i="15"/>
  <c r="Q68" i="15" s="1"/>
  <c r="F65" i="11"/>
  <c r="V116" i="11" s="1"/>
  <c r="AB59" i="11"/>
  <c r="AE59" i="11" s="1"/>
  <c r="AG59" i="11" s="1"/>
  <c r="E4" i="15"/>
  <c r="F14" i="15" s="1"/>
  <c r="W104" i="11"/>
  <c r="Y104" i="11" s="1"/>
  <c r="O52" i="11"/>
  <c r="T111" i="11"/>
  <c r="W111" i="11" s="1"/>
  <c r="Y111" i="11" s="1"/>
  <c r="U52" i="11"/>
  <c r="D60" i="11"/>
  <c r="T59" i="11"/>
  <c r="W59" i="11" s="1"/>
  <c r="U59" i="11" s="1"/>
  <c r="F98" i="15"/>
  <c r="G98" i="15" s="1"/>
  <c r="I98" i="15" s="1"/>
  <c r="I75" i="15"/>
  <c r="N26" i="16" s="1"/>
  <c r="N73" i="15"/>
  <c r="D83" i="11"/>
  <c r="T133" i="11" s="1"/>
  <c r="W133" i="11" s="1"/>
  <c r="O59" i="11"/>
  <c r="Q59" i="11" s="1"/>
  <c r="D79" i="11"/>
  <c r="T79" i="11" s="1"/>
  <c r="W79" i="11" s="1"/>
  <c r="D81" i="11"/>
  <c r="T131" i="11" s="1"/>
  <c r="W131" i="11" s="1"/>
  <c r="D72" i="11"/>
  <c r="G72" i="11" s="1"/>
  <c r="I72" i="11" s="1"/>
  <c r="AE104" i="11"/>
  <c r="AB105" i="11"/>
  <c r="AE105" i="11" s="1"/>
  <c r="O54" i="11"/>
  <c r="Q54" i="11" s="1"/>
  <c r="AB54" i="11"/>
  <c r="AE54" i="11" s="1"/>
  <c r="G69" i="11"/>
  <c r="I69" i="11" s="1"/>
  <c r="T120" i="11"/>
  <c r="W120" i="11" s="1"/>
  <c r="T69" i="11"/>
  <c r="W69" i="11" s="1"/>
  <c r="T116" i="11"/>
  <c r="T65" i="11"/>
  <c r="J27" i="6"/>
  <c r="K21" i="6"/>
  <c r="D67" i="11"/>
  <c r="AB119" i="11"/>
  <c r="AE119" i="11" s="1"/>
  <c r="O68" i="11"/>
  <c r="Q68" i="11" s="1"/>
  <c r="T71" i="11"/>
  <c r="W71" i="11" s="1"/>
  <c r="T122" i="11"/>
  <c r="W122" i="11" s="1"/>
  <c r="G71" i="11"/>
  <c r="I71" i="11" s="1"/>
  <c r="AC108" i="11"/>
  <c r="AG108" i="11"/>
  <c r="Y70" i="11"/>
  <c r="U70" i="11"/>
  <c r="AC70" i="11"/>
  <c r="Y54" i="11"/>
  <c r="Y61" i="11" s="1"/>
  <c r="C5" i="11" s="1"/>
  <c r="U54" i="11"/>
  <c r="AB118" i="11"/>
  <c r="AE118" i="11" s="1"/>
  <c r="O66" i="11"/>
  <c r="Q66" i="11" s="1"/>
  <c r="AC110" i="11"/>
  <c r="AG110" i="11"/>
  <c r="AB121" i="11"/>
  <c r="AE121" i="11" s="1"/>
  <c r="O70" i="11"/>
  <c r="Q70" i="11" s="1"/>
  <c r="I61" i="11"/>
  <c r="E5" i="11" s="1"/>
  <c r="H14" i="11" s="1"/>
  <c r="AG58" i="11"/>
  <c r="AC58" i="11"/>
  <c r="AG67" i="11"/>
  <c r="U118" i="11"/>
  <c r="Y118" i="11"/>
  <c r="Y66" i="11"/>
  <c r="U66" i="11"/>
  <c r="AC66" i="11"/>
  <c r="Y121" i="11"/>
  <c r="U121" i="11"/>
  <c r="L71" i="11"/>
  <c r="AG111" i="11"/>
  <c r="G60" i="11"/>
  <c r="U68" i="11"/>
  <c r="Y68" i="11"/>
  <c r="AC68" i="11"/>
  <c r="U105" i="11"/>
  <c r="Y105" i="11"/>
  <c r="AC52" i="11"/>
  <c r="AG52" i="11"/>
  <c r="L19" i="6"/>
  <c r="L65" i="11"/>
  <c r="U119" i="11"/>
  <c r="Y119" i="11"/>
  <c r="L69" i="11"/>
  <c r="L23" i="6"/>
  <c r="AC56" i="11"/>
  <c r="AG56" i="11"/>
  <c r="M34" i="16" l="1"/>
  <c r="M35" i="16" s="1"/>
  <c r="M36" i="16" s="1"/>
  <c r="L2" i="16" s="1"/>
  <c r="L4" i="16" s="1"/>
  <c r="M5" i="16"/>
  <c r="M37" i="16"/>
  <c r="M63" i="16" s="1"/>
  <c r="U111" i="11"/>
  <c r="AF79" i="15"/>
  <c r="Y79" i="15"/>
  <c r="Y88" i="15" s="1"/>
  <c r="E45" i="12"/>
  <c r="E46" i="12" s="1"/>
  <c r="N28" i="16" s="1"/>
  <c r="N37" i="16" s="1"/>
  <c r="F96" i="15"/>
  <c r="G96" i="15" s="1"/>
  <c r="I96" i="15" s="1"/>
  <c r="T112" i="11"/>
  <c r="W112" i="11" s="1"/>
  <c r="N81" i="15"/>
  <c r="O81" i="15" s="1"/>
  <c r="Q81" i="15" s="1"/>
  <c r="F93" i="15"/>
  <c r="G93" i="15" s="1"/>
  <c r="I93" i="15" s="1"/>
  <c r="F86" i="15"/>
  <c r="G86" i="15" s="1"/>
  <c r="I86" i="15" s="1"/>
  <c r="I88" i="15" s="1"/>
  <c r="P26" i="16" s="1"/>
  <c r="O73" i="15"/>
  <c r="Q73" i="15" s="1"/>
  <c r="Q75" i="15" s="1"/>
  <c r="O26" i="16" s="1"/>
  <c r="G65" i="11"/>
  <c r="I65" i="11" s="1"/>
  <c r="N65" i="11"/>
  <c r="AD116" i="11" s="1"/>
  <c r="V65" i="11"/>
  <c r="W65" i="11" s="1"/>
  <c r="U65" i="11" s="1"/>
  <c r="U104" i="11"/>
  <c r="AC104" i="11"/>
  <c r="O60" i="11"/>
  <c r="AC111" i="11"/>
  <c r="T83" i="11"/>
  <c r="W83" i="11" s="1"/>
  <c r="Y83" i="11" s="1"/>
  <c r="G83" i="11"/>
  <c r="I83" i="11" s="1"/>
  <c r="E5" i="15"/>
  <c r="H14" i="15" s="1"/>
  <c r="Q52" i="11"/>
  <c r="Q61" i="11" s="1"/>
  <c r="E6" i="11" s="1"/>
  <c r="J14" i="11" s="1"/>
  <c r="AC59" i="11"/>
  <c r="G5" i="15"/>
  <c r="G6" i="15"/>
  <c r="C5" i="15"/>
  <c r="C6" i="15"/>
  <c r="T130" i="11"/>
  <c r="W130" i="11" s="1"/>
  <c r="U130" i="11" s="1"/>
  <c r="T81" i="11"/>
  <c r="W81" i="11" s="1"/>
  <c r="U81" i="11" s="1"/>
  <c r="D82" i="11"/>
  <c r="T132" i="11" s="1"/>
  <c r="W132" i="11" s="1"/>
  <c r="D84" i="11"/>
  <c r="T134" i="11" s="1"/>
  <c r="W134" i="11" s="1"/>
  <c r="W116" i="11"/>
  <c r="U116" i="11" s="1"/>
  <c r="G79" i="11"/>
  <c r="I79" i="11" s="1"/>
  <c r="T123" i="11"/>
  <c r="W123" i="11" s="1"/>
  <c r="U123" i="11" s="1"/>
  <c r="T72" i="11"/>
  <c r="W72" i="11" s="1"/>
  <c r="Y72" i="11" s="1"/>
  <c r="G81" i="11"/>
  <c r="I81" i="11" s="1"/>
  <c r="L72" i="11"/>
  <c r="AB123" i="11" s="1"/>
  <c r="AE123" i="11" s="1"/>
  <c r="AG104" i="11"/>
  <c r="AB65" i="11"/>
  <c r="AB116" i="11"/>
  <c r="AG119" i="11"/>
  <c r="AC119" i="11"/>
  <c r="Y120" i="11"/>
  <c r="U120" i="11"/>
  <c r="AC121" i="11"/>
  <c r="AG121" i="11"/>
  <c r="U71" i="11"/>
  <c r="Y71" i="11"/>
  <c r="AC71" i="11"/>
  <c r="AG118" i="11"/>
  <c r="AC118" i="11"/>
  <c r="Y122" i="11"/>
  <c r="U122" i="11"/>
  <c r="T67" i="11"/>
  <c r="W67" i="11" s="1"/>
  <c r="T117" i="11"/>
  <c r="W117" i="11" s="1"/>
  <c r="G67" i="11"/>
  <c r="I67" i="11" s="1"/>
  <c r="L21" i="6"/>
  <c r="L67" i="11"/>
  <c r="AG54" i="11"/>
  <c r="AG61" i="11" s="1"/>
  <c r="C6" i="11" s="1"/>
  <c r="AC54" i="11"/>
  <c r="K27" i="6"/>
  <c r="O71" i="11"/>
  <c r="Q71" i="11" s="1"/>
  <c r="AB122" i="11"/>
  <c r="AE122" i="11" s="1"/>
  <c r="Y112" i="11"/>
  <c r="G5" i="11" s="1"/>
  <c r="Y79" i="11"/>
  <c r="U79" i="11"/>
  <c r="U131" i="11"/>
  <c r="Y131" i="11"/>
  <c r="U69" i="11"/>
  <c r="Y69" i="11"/>
  <c r="AC69" i="11"/>
  <c r="D78" i="11"/>
  <c r="AB120" i="11"/>
  <c r="AE120" i="11" s="1"/>
  <c r="O69" i="11"/>
  <c r="Q69" i="11" s="1"/>
  <c r="U133" i="11"/>
  <c r="Y133" i="11"/>
  <c r="AC105" i="11"/>
  <c r="AG105" i="11"/>
  <c r="O5" i="16" l="1"/>
  <c r="N5" i="16"/>
  <c r="N63" i="16"/>
  <c r="N34" i="16"/>
  <c r="N35" i="16" s="1"/>
  <c r="N36" i="16" s="1"/>
  <c r="M2" i="16" s="1"/>
  <c r="M4" i="16" s="1"/>
  <c r="M6" i="16" s="1"/>
  <c r="L6" i="16"/>
  <c r="F78" i="11"/>
  <c r="V128" i="11" s="1"/>
  <c r="U112" i="11"/>
  <c r="F45" i="12"/>
  <c r="F46" i="12" s="1"/>
  <c r="O28" i="16" s="1"/>
  <c r="G45" i="12"/>
  <c r="G46" i="12" s="1"/>
  <c r="P28" i="16" s="1"/>
  <c r="P37" i="16" s="1"/>
  <c r="X92" i="15"/>
  <c r="Y92" i="15" s="1"/>
  <c r="Y102" i="15" s="1"/>
  <c r="AG79" i="15"/>
  <c r="AG88" i="15" s="1"/>
  <c r="C8" i="15" s="1"/>
  <c r="N86" i="15"/>
  <c r="O86" i="15" s="1"/>
  <c r="Q86" i="15" s="1"/>
  <c r="U83" i="11"/>
  <c r="Y116" i="11"/>
  <c r="F94" i="15"/>
  <c r="G94" i="15" s="1"/>
  <c r="I94" i="15" s="1"/>
  <c r="O65" i="11"/>
  <c r="Q65" i="11" s="1"/>
  <c r="AD65" i="11"/>
  <c r="AE65" i="11" s="1"/>
  <c r="AC65" i="11" s="1"/>
  <c r="E7" i="15"/>
  <c r="L14" i="15" s="1"/>
  <c r="E6" i="15"/>
  <c r="J14" i="15" s="1"/>
  <c r="G84" i="11"/>
  <c r="I84" i="11" s="1"/>
  <c r="AC72" i="11"/>
  <c r="T82" i="11"/>
  <c r="W82" i="11" s="1"/>
  <c r="U82" i="11" s="1"/>
  <c r="G82" i="11"/>
  <c r="I82" i="11" s="1"/>
  <c r="T84" i="11"/>
  <c r="W84" i="11" s="1"/>
  <c r="U84" i="11" s="1"/>
  <c r="O72" i="11"/>
  <c r="Q72" i="11" s="1"/>
  <c r="C7" i="15"/>
  <c r="G7" i="15"/>
  <c r="F99" i="15"/>
  <c r="G99" i="15" s="1"/>
  <c r="I99" i="15" s="1"/>
  <c r="Q88" i="15"/>
  <c r="Q26" i="16" s="1"/>
  <c r="Y130" i="11"/>
  <c r="D80" i="11"/>
  <c r="T80" i="11" s="1"/>
  <c r="W80" i="11" s="1"/>
  <c r="Y123" i="11"/>
  <c r="Y81" i="11"/>
  <c r="AG112" i="11"/>
  <c r="G6" i="11" s="1"/>
  <c r="Y65" i="11"/>
  <c r="U72" i="11"/>
  <c r="AE116" i="11"/>
  <c r="AG116" i="11" s="1"/>
  <c r="V78" i="11"/>
  <c r="AB117" i="11"/>
  <c r="AE117" i="11" s="1"/>
  <c r="O67" i="11"/>
  <c r="Q67" i="11" s="1"/>
  <c r="T128" i="11"/>
  <c r="T78" i="11"/>
  <c r="Y132" i="11"/>
  <c r="U132" i="11"/>
  <c r="AC120" i="11"/>
  <c r="AG120" i="11"/>
  <c r="AG122" i="11"/>
  <c r="AC122" i="11"/>
  <c r="Y67" i="11"/>
  <c r="U67" i="11"/>
  <c r="AC67" i="11"/>
  <c r="G73" i="11"/>
  <c r="U117" i="11"/>
  <c r="Y117" i="11"/>
  <c r="AG123" i="11"/>
  <c r="AC123" i="11"/>
  <c r="U134" i="11"/>
  <c r="Y134" i="11"/>
  <c r="I74" i="11"/>
  <c r="E7" i="11" s="1"/>
  <c r="L14" i="11" s="1"/>
  <c r="O34" i="16" l="1"/>
  <c r="O35" i="16" s="1"/>
  <c r="O36" i="16" s="1"/>
  <c r="N2" i="16" s="1"/>
  <c r="N4" i="16" s="1"/>
  <c r="N6" i="16" s="1"/>
  <c r="O37" i="16"/>
  <c r="O63" i="16" s="1"/>
  <c r="P5" i="16"/>
  <c r="P63" i="16"/>
  <c r="P34" i="16"/>
  <c r="P35" i="16" s="1"/>
  <c r="P36" i="16" s="1"/>
  <c r="O2" i="16" s="1"/>
  <c r="O4" i="16" s="1"/>
  <c r="G78" i="11"/>
  <c r="I78" i="11" s="1"/>
  <c r="Y124" i="11"/>
  <c r="G7" i="11" s="1"/>
  <c r="H45" i="12"/>
  <c r="H46" i="12" s="1"/>
  <c r="Q28" i="16" s="1"/>
  <c r="Q37" i="16" s="1"/>
  <c r="G80" i="11"/>
  <c r="I80" i="11" s="1"/>
  <c r="Y82" i="11"/>
  <c r="E8" i="15"/>
  <c r="N14" i="15" s="1"/>
  <c r="Q74" i="11"/>
  <c r="E8" i="11" s="1"/>
  <c r="N14" i="11" s="1"/>
  <c r="Y84" i="11"/>
  <c r="AC116" i="11"/>
  <c r="Y74" i="11"/>
  <c r="C7" i="11" s="1"/>
  <c r="G8" i="15"/>
  <c r="T129" i="11"/>
  <c r="W129" i="11" s="1"/>
  <c r="U129" i="11" s="1"/>
  <c r="O73" i="11"/>
  <c r="AG65" i="11"/>
  <c r="AG74" i="11" s="1"/>
  <c r="C8" i="11" s="1"/>
  <c r="D85" i="11"/>
  <c r="D87" i="11" s="1"/>
  <c r="I102" i="15"/>
  <c r="R26" i="16" s="1"/>
  <c r="W78" i="11"/>
  <c r="Y78" i="11" s="1"/>
  <c r="W128" i="11"/>
  <c r="Y80" i="11"/>
  <c r="U80" i="11"/>
  <c r="L27" i="6"/>
  <c r="AG117" i="11"/>
  <c r="AG124" i="11" s="1"/>
  <c r="G8" i="11" s="1"/>
  <c r="AC117" i="11"/>
  <c r="Q34" i="16" l="1"/>
  <c r="Q35" i="16" s="1"/>
  <c r="Q36" i="16" s="1"/>
  <c r="P2" i="16" s="1"/>
  <c r="P4" i="16" s="1"/>
  <c r="Q63" i="16"/>
  <c r="B13" i="16"/>
  <c r="Q5" i="16"/>
  <c r="O6" i="16"/>
  <c r="I45" i="12"/>
  <c r="I46" i="12" s="1"/>
  <c r="R28" i="16" s="1"/>
  <c r="R37" i="16" s="1"/>
  <c r="I88" i="11"/>
  <c r="E9" i="11" s="1"/>
  <c r="P14" i="11" s="1"/>
  <c r="E9" i="15"/>
  <c r="P14" i="15" s="1"/>
  <c r="Y129" i="11"/>
  <c r="T85" i="11"/>
  <c r="W85" i="11" s="1"/>
  <c r="U85" i="11" s="1"/>
  <c r="G85" i="11"/>
  <c r="I85" i="11" s="1"/>
  <c r="T135" i="11"/>
  <c r="W135" i="11" s="1"/>
  <c r="Y135" i="11" s="1"/>
  <c r="U78" i="11"/>
  <c r="D101" i="15"/>
  <c r="Y128" i="11"/>
  <c r="U128" i="11"/>
  <c r="Y86" i="11"/>
  <c r="C9" i="11" s="1"/>
  <c r="R34" i="16" l="1"/>
  <c r="R35" i="16" s="1"/>
  <c r="R36" i="16" s="1"/>
  <c r="Q2" i="16" s="1"/>
  <c r="R63" i="16"/>
  <c r="P6" i="16"/>
  <c r="G9" i="15"/>
  <c r="C9" i="15"/>
  <c r="Y85" i="11"/>
  <c r="Y136" i="11"/>
  <c r="G9" i="11" s="1"/>
  <c r="U135" i="11"/>
  <c r="G87" i="11"/>
  <c r="T136" i="11"/>
  <c r="T5" i="16" l="1"/>
  <c r="T6" i="16" s="1"/>
  <c r="Q4" i="16"/>
  <c r="Q6" i="16" l="1"/>
  <c r="T9" i="16"/>
  <c r="B3" i="16" s="1"/>
</calcChain>
</file>

<file path=xl/sharedStrings.xml><?xml version="1.0" encoding="utf-8"?>
<sst xmlns="http://schemas.openxmlformats.org/spreadsheetml/2006/main" count="1894" uniqueCount="568">
  <si>
    <t>State</t>
  </si>
  <si>
    <t>USD</t>
  </si>
  <si>
    <t>Current RE %</t>
  </si>
  <si>
    <t>TWh to tw</t>
  </si>
  <si>
    <t>twh</t>
  </si>
  <si>
    <t>tw</t>
  </si>
  <si>
    <t>GW</t>
  </si>
  <si>
    <t>T.Gen</t>
  </si>
  <si>
    <t>F.Fuel Gen</t>
  </si>
  <si>
    <t>T. RE. Gen</t>
  </si>
  <si>
    <t>RE prop of Gen</t>
  </si>
  <si>
    <t>RE prop of Consumption</t>
  </si>
  <si>
    <t>GWh</t>
  </si>
  <si>
    <t>NSW</t>
  </si>
  <si>
    <t>WA</t>
  </si>
  <si>
    <t xml:space="preserve">QLD </t>
  </si>
  <si>
    <t xml:space="preserve">SA </t>
  </si>
  <si>
    <t xml:space="preserve">TAS </t>
  </si>
  <si>
    <t xml:space="preserve">VIC </t>
  </si>
  <si>
    <t>National</t>
  </si>
  <si>
    <t>Target</t>
  </si>
  <si>
    <t xml:space="preserve">100%by 2050 </t>
  </si>
  <si>
    <t>150% by 2030 &amp; 200% by 2040</t>
  </si>
  <si>
    <t>95% by 2035</t>
  </si>
  <si>
    <t>ACT</t>
  </si>
  <si>
    <t>100% by 2045</t>
  </si>
  <si>
    <t>70% &amp; 80% by 2032 &amp; 2050</t>
  </si>
  <si>
    <t>100% by 2030</t>
  </si>
  <si>
    <t>NT</t>
  </si>
  <si>
    <t>50% by 2030</t>
  </si>
  <si>
    <t>Country/Region</t>
  </si>
  <si>
    <t>Value  
 (USD x M)</t>
  </si>
  <si>
    <t>Target (%)</t>
  </si>
  <si>
    <t>Target Value</t>
  </si>
  <si>
    <t>(USD x M)</t>
  </si>
  <si>
    <t>Africa</t>
  </si>
  <si>
    <t>Rwanda</t>
  </si>
  <si>
    <t>Kenya</t>
  </si>
  <si>
    <t>Gabon</t>
  </si>
  <si>
    <t>Togo</t>
  </si>
  <si>
    <t>Ghana</t>
  </si>
  <si>
    <t>Uganda</t>
  </si>
  <si>
    <t>Senegal</t>
  </si>
  <si>
    <t>sierra leone</t>
  </si>
  <si>
    <t>South Africa</t>
  </si>
  <si>
    <t xml:space="preserve">mozambique </t>
  </si>
  <si>
    <t>Namibia</t>
  </si>
  <si>
    <t>Ivory Coast</t>
  </si>
  <si>
    <t>Malawi</t>
  </si>
  <si>
    <t>Esawtini</t>
  </si>
  <si>
    <t>Tanzania</t>
  </si>
  <si>
    <t>Bostwana</t>
  </si>
  <si>
    <t>Lesotho</t>
  </si>
  <si>
    <t>Cameroon</t>
  </si>
  <si>
    <t>DR Congo</t>
  </si>
  <si>
    <t>Egypt</t>
  </si>
  <si>
    <t>Morocco</t>
  </si>
  <si>
    <t>Tunis</t>
  </si>
  <si>
    <t>USA</t>
  </si>
  <si>
    <t>Australia</t>
  </si>
  <si>
    <t>New Zealand</t>
  </si>
  <si>
    <t>Australia &amp; NZ</t>
  </si>
  <si>
    <t>Canada</t>
  </si>
  <si>
    <t>Germany</t>
  </si>
  <si>
    <t>Italy</t>
  </si>
  <si>
    <t>Spain</t>
  </si>
  <si>
    <t>France</t>
  </si>
  <si>
    <t>Sweden</t>
  </si>
  <si>
    <t>Switzerland</t>
  </si>
  <si>
    <t>UK</t>
  </si>
  <si>
    <t>Netherlands</t>
  </si>
  <si>
    <t>Norway</t>
  </si>
  <si>
    <t>Finland</t>
  </si>
  <si>
    <t>Denmark</t>
  </si>
  <si>
    <t>Europe</t>
  </si>
  <si>
    <t>Turkey</t>
  </si>
  <si>
    <t>UAE</t>
  </si>
  <si>
    <t>Jordan</t>
  </si>
  <si>
    <t>Global Total</t>
  </si>
  <si>
    <t>Global Consumption</t>
  </si>
  <si>
    <t>Year 2</t>
  </si>
  <si>
    <t>Year 3</t>
  </si>
  <si>
    <t>TAM - USD xM</t>
  </si>
  <si>
    <t>PL  M</t>
  </si>
  <si>
    <t>Year 4</t>
  </si>
  <si>
    <t>Year 5</t>
  </si>
  <si>
    <t>Year 6</t>
  </si>
  <si>
    <t>States Current &amp; Target Overview</t>
  </si>
  <si>
    <t>TW</t>
  </si>
  <si>
    <t>=</t>
  </si>
  <si>
    <t>PJ/s</t>
  </si>
  <si>
    <t>PJ</t>
  </si>
  <si>
    <t>TWh</t>
  </si>
  <si>
    <t>Current Consumption</t>
  </si>
  <si>
    <t>Twh</t>
  </si>
  <si>
    <t>Tw</t>
  </si>
  <si>
    <t>USD (B)</t>
  </si>
  <si>
    <t>Australia produces 2.4% of the world's energy</t>
  </si>
  <si>
    <t>x</t>
  </si>
  <si>
    <t>x=</t>
  </si>
  <si>
    <t xml:space="preserve">Australia Market Size </t>
  </si>
  <si>
    <t>Growth Rate</t>
  </si>
  <si>
    <t>USD xB</t>
  </si>
  <si>
    <t>TAM USD xB</t>
  </si>
  <si>
    <t>kWhx B</t>
  </si>
  <si>
    <t>Solar kW xB</t>
  </si>
  <si>
    <t>2022 5GW of RE, 4GW of which are solar PV</t>
  </si>
  <si>
    <t>% goes to solar PV</t>
  </si>
  <si>
    <t>China</t>
  </si>
  <si>
    <t>India</t>
  </si>
  <si>
    <t>Revenue</t>
  </si>
  <si>
    <t>Project Price</t>
  </si>
  <si>
    <t>USD/kW</t>
  </si>
  <si>
    <t>China Consumption-2022</t>
  </si>
  <si>
    <t>India Consumption-2022</t>
  </si>
  <si>
    <t>MTOE</t>
  </si>
  <si>
    <t>T.Revenue</t>
  </si>
  <si>
    <t>Asia Pacific</t>
  </si>
  <si>
    <t>Indonesia</t>
  </si>
  <si>
    <t>Korea</t>
  </si>
  <si>
    <t>Twh/Mtoe</t>
  </si>
  <si>
    <t>Gwh</t>
  </si>
  <si>
    <t>S.Korea</t>
  </si>
  <si>
    <t>P.N.Guinea</t>
  </si>
  <si>
    <t xml:space="preserve">P.N.G </t>
  </si>
  <si>
    <t>Electricifcation %</t>
  </si>
  <si>
    <t>Installed - GW</t>
  </si>
  <si>
    <t>Demand</t>
  </si>
  <si>
    <t>Thailand</t>
  </si>
  <si>
    <t>Japan</t>
  </si>
  <si>
    <t>Vietnam</t>
  </si>
  <si>
    <t>Myanmar</t>
  </si>
  <si>
    <t>Central N.Asia</t>
  </si>
  <si>
    <t>Russia</t>
  </si>
  <si>
    <t>Kazakhistan</t>
  </si>
  <si>
    <t>Mongolia</t>
  </si>
  <si>
    <t>Uzbekistan</t>
  </si>
  <si>
    <t>Pakistan</t>
  </si>
  <si>
    <t>Azerbaijan</t>
  </si>
  <si>
    <t>Turkmenistan</t>
  </si>
  <si>
    <t>Tajikistan</t>
  </si>
  <si>
    <t>Kyrgyzstan</t>
  </si>
  <si>
    <t>Year 0</t>
  </si>
  <si>
    <t>GP %</t>
  </si>
  <si>
    <t>GP%</t>
  </si>
  <si>
    <t>M.Share</t>
  </si>
  <si>
    <t>Conservative</t>
  </si>
  <si>
    <t>Optimistic</t>
  </si>
  <si>
    <t>Median</t>
  </si>
  <si>
    <t>Year 1</t>
  </si>
  <si>
    <t>Mediam</t>
  </si>
  <si>
    <t>Revenue Estimation &amp; Forecast</t>
  </si>
  <si>
    <t>Year</t>
  </si>
  <si>
    <t>IEA</t>
  </si>
  <si>
    <t>gw</t>
  </si>
  <si>
    <t>mordon intelligence</t>
  </si>
  <si>
    <t>globalaustralia.gov.au</t>
  </si>
  <si>
    <t>PV Magazine</t>
  </si>
  <si>
    <t>PV Magazine Australia</t>
  </si>
  <si>
    <t>Tayiang News</t>
  </si>
  <si>
    <t>Forecasted Annual TAMs</t>
  </si>
  <si>
    <t>Current</t>
  </si>
  <si>
    <t>Avg Grwoth</t>
  </si>
  <si>
    <t>Total Addressable Market in USD x Million</t>
  </si>
  <si>
    <t>Rate</t>
  </si>
  <si>
    <t>Year 7</t>
  </si>
  <si>
    <t>Revenue USD</t>
  </si>
  <si>
    <t>Year 6  ( USD  x Million)</t>
  </si>
  <si>
    <t>Year 7  ( USD  x Million)</t>
  </si>
  <si>
    <t>Value 
(USD x M)</t>
  </si>
  <si>
    <t>Capacity
(MW)</t>
  </si>
  <si>
    <t>Capacity 
(MW)</t>
  </si>
  <si>
    <t>Forecasted (GW)</t>
  </si>
  <si>
    <t>Wood Mackenzie</t>
  </si>
  <si>
    <t>BNEF</t>
  </si>
  <si>
    <t>https://www.mordorintelligence.com/industry-reports/south-africa-renewable-energy-market</t>
  </si>
  <si>
    <t>Capacity</t>
  </si>
  <si>
    <t>Capacity (GW)</t>
  </si>
  <si>
    <t>Source</t>
  </si>
  <si>
    <t>AFSIA</t>
  </si>
  <si>
    <t>Algeria</t>
  </si>
  <si>
    <t>Angola</t>
  </si>
  <si>
    <t>Benin</t>
  </si>
  <si>
    <t>Burkina Faso</t>
  </si>
  <si>
    <t>Avg Tariff 
$ cents</t>
  </si>
  <si>
    <t>Burundi</t>
  </si>
  <si>
    <t>Cape Verde</t>
  </si>
  <si>
    <t>Central Africa</t>
  </si>
  <si>
    <t>Chad</t>
  </si>
  <si>
    <t>Comoros</t>
  </si>
  <si>
    <t>Cote D’Ivoire</t>
  </si>
  <si>
    <t>DRC Congo</t>
  </si>
  <si>
    <t>Djibouti</t>
  </si>
  <si>
    <r>
      <t xml:space="preserve">TAM </t>
    </r>
    <r>
      <rPr>
        <b/>
        <i/>
        <sz val="10"/>
        <color theme="1"/>
        <rFont val="Calisto MT"/>
        <family val="1"/>
      </rPr>
      <t>aggr.</t>
    </r>
  </si>
  <si>
    <r>
      <t xml:space="preserve">Solar Current TAM </t>
    </r>
    <r>
      <rPr>
        <b/>
        <i/>
        <sz val="10"/>
        <color theme="1"/>
        <rFont val="Calisto MT"/>
        <family val="1"/>
      </rPr>
      <t>aggr.</t>
    </r>
  </si>
  <si>
    <t>Madagascar</t>
  </si>
  <si>
    <t>Mali</t>
  </si>
  <si>
    <t>Nigeria</t>
  </si>
  <si>
    <t>Zambia</t>
  </si>
  <si>
    <t>Zimbabwe</t>
  </si>
  <si>
    <t>Annual TAM</t>
  </si>
  <si>
    <t>Elect. Auth.</t>
  </si>
  <si>
    <t>https://www.ea.govt.nz/news/eye-on-electricity/solar-generation-now-and-in-the-future/#:~:text=There%20is%20currently%20around%20270,up%20of%20rooftop%20solar%20installations.</t>
  </si>
  <si>
    <t>https://www.pv-magazine.com/2022/11/29/canada-set-to-hit-5-gw-milestone/</t>
  </si>
  <si>
    <t>EU</t>
  </si>
  <si>
    <t>https://www.solarpowereurope.org/press-releases/new-report-reveals-eu-solar-power-soars-by-almost-50-in-2022#:~:text=Annual%20EU%20solar%20power%20growth,to%20208.9%20GW%20in%202022.</t>
  </si>
  <si>
    <t>SolarPowerEU</t>
  </si>
  <si>
    <t>ME</t>
  </si>
  <si>
    <t>https://www.iea.org/reports/renewables-2022/renewable-electricity</t>
  </si>
  <si>
    <t>Saudi Arabia</t>
  </si>
  <si>
    <t>Global</t>
  </si>
  <si>
    <t>https://www.esi-africa.com/renewable-energy/solar/angola-leads-the-pv-way-as-africa-increases-solar-energy-capacity-report/</t>
  </si>
  <si>
    <t>Asia</t>
  </si>
  <si>
    <t>https://www.pv-tech.org/asias-largest-economies-to-see-exponential-growth-in-solar-capacity-through-2030-average-annual-growth-of-22/</t>
  </si>
  <si>
    <t>https://www.pv-magazine.com/2023/06/14/asia-leads-charge-in-renewable-energy-growth/</t>
  </si>
  <si>
    <t>Aisa</t>
  </si>
  <si>
    <t>Value</t>
  </si>
  <si>
    <t>Year 3 - USD</t>
  </si>
  <si>
    <t>PL x M</t>
  </si>
  <si>
    <t>TAM - xM</t>
  </si>
  <si>
    <t>Year 2  - USD</t>
  </si>
  <si>
    <t>Year 1 - USD</t>
  </si>
  <si>
    <t>Year 4  - USD</t>
  </si>
  <si>
    <t>Year 5  - USD</t>
  </si>
  <si>
    <t>TAM -  xM</t>
  </si>
  <si>
    <t>TAM xM</t>
  </si>
  <si>
    <t>Growth (%)</t>
  </si>
  <si>
    <t>-</t>
  </si>
  <si>
    <t>Year2</t>
  </si>
  <si>
    <t>Avg. Growth</t>
  </si>
  <si>
    <t>Forecast Australia</t>
  </si>
  <si>
    <t>z</t>
  </si>
  <si>
    <t>Qty</t>
  </si>
  <si>
    <t>Total</t>
  </si>
  <si>
    <t>Trip Details</t>
  </si>
  <si>
    <t>Eco Class ( USD)</t>
  </si>
  <si>
    <t>Stay (days)</t>
  </si>
  <si>
    <t>avg night rate</t>
  </si>
  <si>
    <t>Accomodation budget</t>
  </si>
  <si>
    <t>Perth</t>
  </si>
  <si>
    <t>Total Days</t>
  </si>
  <si>
    <t>Total Accomodation</t>
  </si>
  <si>
    <t>Total Flight Exp.</t>
  </si>
  <si>
    <t>Allowance</t>
  </si>
  <si>
    <t>Total trips expenditure</t>
  </si>
  <si>
    <t>Budget</t>
  </si>
  <si>
    <t>No. Trips</t>
  </si>
  <si>
    <t>/</t>
  </si>
  <si>
    <t>No. Trees Saved</t>
  </si>
  <si>
    <t>Carbon Emissions</t>
  </si>
  <si>
    <t>Per kWh</t>
  </si>
  <si>
    <t>Carbon Absorbed per Tree</t>
  </si>
  <si>
    <t xml:space="preserve">(kWh </t>
  </si>
  <si>
    <t>Saved)</t>
  </si>
  <si>
    <t>MW</t>
  </si>
  <si>
    <t>kWh</t>
  </si>
  <si>
    <t>CER - Tonn</t>
  </si>
  <si>
    <t>TAM</t>
  </si>
  <si>
    <t>Job Created</t>
  </si>
  <si>
    <t>Enviromental</t>
  </si>
  <si>
    <t>to</t>
  </si>
  <si>
    <t>Jobs Created(people)</t>
  </si>
  <si>
    <t>jobs per</t>
  </si>
  <si>
    <t>Valuation</t>
  </si>
  <si>
    <t>Market Size and Growth Method:</t>
  </si>
  <si>
    <r>
      <t>Formula:</t>
    </r>
    <r>
      <rPr>
        <sz val="11"/>
        <color theme="1"/>
        <rFont val="Calibri"/>
        <family val="2"/>
        <scheme val="minor"/>
      </rPr>
      <t xml:space="preserve"> Startup Valuation = Estimated Market Size × Expected Market Share × (1 + Expected Market Growth Rate)</t>
    </r>
  </si>
  <si>
    <t>Market Size</t>
  </si>
  <si>
    <t>Market Share</t>
  </si>
  <si>
    <t>Avg. Market Growth</t>
  </si>
  <si>
    <t xml:space="preserve"> 3rd as this is when we get a stable global coverage of our business.</t>
  </si>
  <si>
    <t>We assumed median-optimistic due to the changes of how the world is shifting to solar as solar has</t>
  </si>
  <si>
    <t>become the cheapest energy source.</t>
  </si>
  <si>
    <t>Median-Optimistic Valuation</t>
  </si>
  <si>
    <t>KSA</t>
  </si>
  <si>
    <t>Aus. &amp; NZ</t>
  </si>
  <si>
    <t xml:space="preserve">of the </t>
  </si>
  <si>
    <t>thus SAM is</t>
  </si>
  <si>
    <t>SOM (%)</t>
  </si>
  <si>
    <t>TAM (xM)</t>
  </si>
  <si>
    <t>SAM x(M)</t>
  </si>
  <si>
    <t>Project Value</t>
  </si>
  <si>
    <t>SOM percentage of TAM</t>
  </si>
  <si>
    <t>Forecasted Annual SOMs</t>
  </si>
  <si>
    <t>of TAM</t>
  </si>
  <si>
    <t>SOM xM</t>
  </si>
  <si>
    <t>SOM x(M)</t>
  </si>
  <si>
    <t>M</t>
  </si>
  <si>
    <t>Th</t>
  </si>
  <si>
    <t>Aus &amp; NZ</t>
  </si>
  <si>
    <t>AUS &amp; NZ</t>
  </si>
  <si>
    <t>Project Shares</t>
  </si>
  <si>
    <t>Project &amp; Services Revenue Estimation &amp; Forecast</t>
  </si>
  <si>
    <t>Revenue Streams - Median to Conservative</t>
  </si>
  <si>
    <t>Marketing</t>
  </si>
  <si>
    <t>Subscription</t>
  </si>
  <si>
    <t>Project Shares ( Success Fees &amp; Service Fees)</t>
  </si>
  <si>
    <t>SAR to USD</t>
  </si>
  <si>
    <t>Instagram</t>
  </si>
  <si>
    <t>Twitter</t>
  </si>
  <si>
    <t>Googls Ads</t>
  </si>
  <si>
    <t>Cust. Clicks</t>
  </si>
  <si>
    <t>CPM</t>
  </si>
  <si>
    <t>Cost</t>
  </si>
  <si>
    <t>Impressions</t>
  </si>
  <si>
    <t>CPC</t>
  </si>
  <si>
    <t>no of Clicks</t>
  </si>
  <si>
    <t>monthly</t>
  </si>
  <si>
    <t>pa</t>
  </si>
  <si>
    <t>Conv. Click to Subscription</t>
  </si>
  <si>
    <t>Elite</t>
  </si>
  <si>
    <t>Total Active Users</t>
  </si>
  <si>
    <t>Gold</t>
  </si>
  <si>
    <t>Subcriptions:</t>
  </si>
  <si>
    <t>No. Customer</t>
  </si>
  <si>
    <t>Membership</t>
  </si>
  <si>
    <t>Subscription - Elite</t>
  </si>
  <si>
    <t>Ad Placement Type</t>
  </si>
  <si>
    <t>CPM (Cost Per 1,000 Views)</t>
  </si>
  <si>
    <t>CPC (Cost Per Click)</t>
  </si>
  <si>
    <t>Flat Monthly Rate</t>
  </si>
  <si>
    <t>Avg Monthly</t>
  </si>
  <si>
    <t>Subscription - Gold</t>
  </si>
  <si>
    <t>Homepage Banner</t>
  </si>
  <si>
    <t>$30 - $50 CPM</t>
  </si>
  <si>
    <t>$5 - $15 CPC</t>
  </si>
  <si>
    <t>$3,000 - $7,500</t>
  </si>
  <si>
    <t>Subscription Free</t>
  </si>
  <si>
    <t>Project Feed Ad</t>
  </si>
  <si>
    <t>$20 - $40 CPM</t>
  </si>
  <si>
    <t>$3 - $10 CPC</t>
  </si>
  <si>
    <t>$1,500 - $5,000</t>
  </si>
  <si>
    <t>Paid Ads</t>
  </si>
  <si>
    <t>Supplier Spotlight</t>
  </si>
  <si>
    <t>$10 - $30 CPM</t>
  </si>
  <si>
    <t>$2 - $8 CPC</t>
  </si>
  <si>
    <t>$1,000 - $3,500</t>
  </si>
  <si>
    <t>Project Services</t>
  </si>
  <si>
    <t>Push Notification Ad</t>
  </si>
  <si>
    <t>—</t>
  </si>
  <si>
    <t>$10 - $25 CPC</t>
  </si>
  <si>
    <t>Total Earnings</t>
  </si>
  <si>
    <t>In-App Video Ad</t>
  </si>
  <si>
    <t>$20 - $50 CPM</t>
  </si>
  <si>
    <t>$5 - $20 CPC</t>
  </si>
  <si>
    <t>$2,500 - $6,000</t>
  </si>
  <si>
    <t>Project</t>
  </si>
  <si>
    <t>W</t>
  </si>
  <si>
    <t>USD/W</t>
  </si>
  <si>
    <t>Project Acquisition count</t>
  </si>
  <si>
    <t>Project Commission</t>
  </si>
  <si>
    <t>Project Earnings</t>
  </si>
  <si>
    <t>Total Solar PV</t>
  </si>
  <si>
    <t>C&amp;I</t>
  </si>
  <si>
    <t>Avg. Projec Size</t>
  </si>
  <si>
    <t>Project Qty</t>
  </si>
  <si>
    <t>Marketing Spend</t>
  </si>
  <si>
    <t>Social Meda Ads</t>
  </si>
  <si>
    <t>Agency Fees</t>
  </si>
  <si>
    <t>Total Marketing Spend/m</t>
  </si>
  <si>
    <t>Article</t>
  </si>
  <si>
    <t>Cost pa</t>
  </si>
  <si>
    <t>Tech &amp; App</t>
  </si>
  <si>
    <t>App Build Up</t>
  </si>
  <si>
    <t>one-time</t>
  </si>
  <si>
    <t>App Services</t>
  </si>
  <si>
    <t>ERP &amp; CRM</t>
  </si>
  <si>
    <t>Salaries</t>
  </si>
  <si>
    <t>Full Stack Developer</t>
  </si>
  <si>
    <t>Mobile App Developer</t>
  </si>
  <si>
    <t>Backend Developer</t>
  </si>
  <si>
    <t>UI/UX Developer</t>
  </si>
  <si>
    <t>DevOps</t>
  </si>
  <si>
    <t>Cybersecurity</t>
  </si>
  <si>
    <t>QA</t>
  </si>
  <si>
    <t>DBA</t>
  </si>
  <si>
    <t>Business Intelligence Analyst</t>
  </si>
  <si>
    <t>Blockchain developer</t>
  </si>
  <si>
    <t>CTO &amp; Co-Founder</t>
  </si>
  <si>
    <t>CEO &amp; Founder</t>
  </si>
  <si>
    <t>KSA basedSalary pp</t>
  </si>
  <si>
    <t>EGY based Salary pp</t>
  </si>
  <si>
    <t>AI/ML</t>
  </si>
  <si>
    <t>KSA based - USD</t>
  </si>
  <si>
    <t>Graphic Designer</t>
  </si>
  <si>
    <t>Marketing Manager</t>
  </si>
  <si>
    <t>General Accountant</t>
  </si>
  <si>
    <t>Finance Manager</t>
  </si>
  <si>
    <t>Marketing Specialist</t>
  </si>
  <si>
    <t>EGY based - USD pa</t>
  </si>
  <si>
    <t>Business Developer</t>
  </si>
  <si>
    <t>Active Users</t>
  </si>
  <si>
    <t>Avg Prjct Value Rate</t>
  </si>
  <si>
    <t>Details</t>
  </si>
  <si>
    <t>Dr</t>
  </si>
  <si>
    <t>Cr</t>
  </si>
  <si>
    <t>Marketing Depratment Expenditure</t>
  </si>
  <si>
    <t>Total Annual Salaries</t>
  </si>
  <si>
    <t>Rent</t>
  </si>
  <si>
    <t>Office - Egypt</t>
  </si>
  <si>
    <t>Office Space in KSA</t>
  </si>
  <si>
    <t xml:space="preserve">Office Space in Egypt </t>
  </si>
  <si>
    <t>Application Build-up CAPEX x 1 time</t>
  </si>
  <si>
    <t>Tech</t>
  </si>
  <si>
    <t>Ads Placement Revenues</t>
  </si>
  <si>
    <t>Subscription Revenues</t>
  </si>
  <si>
    <t>Business Development</t>
  </si>
  <si>
    <t>Marketing &amp; SBD</t>
  </si>
  <si>
    <t>Balance</t>
  </si>
  <si>
    <t>Marketing Growth</t>
  </si>
  <si>
    <t>Monetary Values</t>
  </si>
  <si>
    <t>Total Marketing Revenue</t>
  </si>
  <si>
    <t>Business Development Revenues</t>
  </si>
  <si>
    <t>Khobar-Riyadh</t>
  </si>
  <si>
    <t>Khobar</t>
  </si>
  <si>
    <t>Jeddah</t>
  </si>
  <si>
    <t>Makkah</t>
  </si>
  <si>
    <t>Flexi Desk - KSA</t>
  </si>
  <si>
    <t>Travel &amp; Accomodation</t>
  </si>
  <si>
    <t>Company Licensing</t>
  </si>
  <si>
    <t>Weight (%)</t>
  </si>
  <si>
    <t>Spend to Revenue(%)</t>
  </si>
  <si>
    <t>Mitigating Conservative</t>
  </si>
  <si>
    <t>by 42%</t>
  </si>
  <si>
    <t>Marketing Budget</t>
  </si>
  <si>
    <t>7 Years Financials</t>
  </si>
  <si>
    <t xml:space="preserve">Normalized SOM = </t>
  </si>
  <si>
    <t>SAM (%)</t>
  </si>
  <si>
    <t>Normalized SAM=</t>
  </si>
  <si>
    <t>of SAM</t>
  </si>
  <si>
    <t>Service Obtainable Market in USD in Million</t>
  </si>
  <si>
    <t>Expense to Revenue (%)</t>
  </si>
  <si>
    <t xml:space="preserve">Salaries </t>
  </si>
  <si>
    <t>Our main focus is the C&amp;I sector; with residency projects taking occurance by 2028 C&amp;I accounts for 67% of the projects and we will assume only 3% for residential</t>
  </si>
  <si>
    <t>Although we will have no direct competition, first years acquisition will be a challenge; thus the low percentage</t>
  </si>
  <si>
    <t>SOM Basis - KSA</t>
  </si>
  <si>
    <t>Social Media Conversions</t>
  </si>
  <si>
    <t>$2,000 - $5,000 /campaign</t>
  </si>
  <si>
    <t>Total Services Earnings</t>
  </si>
  <si>
    <t xml:space="preserve">Total SOM </t>
  </si>
  <si>
    <t>Market Share Value</t>
  </si>
  <si>
    <t>Avg Project size</t>
  </si>
  <si>
    <t>T. Project Earnings</t>
  </si>
  <si>
    <t>T SOM Projects sizes</t>
  </si>
  <si>
    <t>Mrkt Growth</t>
  </si>
  <si>
    <t>SOMs with Company's Growth Rate factored in</t>
  </si>
  <si>
    <t>SOM /Grth</t>
  </si>
  <si>
    <t>TAMM xM</t>
  </si>
  <si>
    <t>Year 6   - USD</t>
  </si>
  <si>
    <t>Year 7  - USD</t>
  </si>
  <si>
    <t>Yr 2</t>
  </si>
  <si>
    <t>Yr 1</t>
  </si>
  <si>
    <t>BD - USA</t>
  </si>
  <si>
    <t>BD - West Africa</t>
  </si>
  <si>
    <t>BD - ME</t>
  </si>
  <si>
    <t>BD- N.Africa</t>
  </si>
  <si>
    <t>BD- AUS &amp;NZ</t>
  </si>
  <si>
    <t>BD - Canada</t>
  </si>
  <si>
    <t>BD- Asia</t>
  </si>
  <si>
    <t>Tenure (m</t>
  </si>
  <si>
    <t>m</t>
  </si>
  <si>
    <t>25% Tech Increment</t>
  </si>
  <si>
    <t>Conversions</t>
  </si>
  <si>
    <t>Spending Budget/yr</t>
  </si>
  <si>
    <t>Active to Project Conversions</t>
  </si>
  <si>
    <t>Total Revenues</t>
  </si>
  <si>
    <t>Revenues</t>
  </si>
  <si>
    <t>Marketing Exp</t>
  </si>
  <si>
    <t>Offices &amp; Registration</t>
  </si>
  <si>
    <t>HR</t>
  </si>
  <si>
    <t>Office boy</t>
  </si>
  <si>
    <t>Office Supplies</t>
  </si>
  <si>
    <t>Office Utilities</t>
  </si>
  <si>
    <t>Total Office &amp; Est</t>
  </si>
  <si>
    <t>Marketing/Revenues</t>
  </si>
  <si>
    <t>Earnings</t>
  </si>
  <si>
    <t xml:space="preserve">hitting </t>
  </si>
  <si>
    <t>marketing budget on revenues from year 1</t>
  </si>
  <si>
    <t>Marketing spend off revenues</t>
  </si>
  <si>
    <t>Percentage</t>
  </si>
  <si>
    <t>Count</t>
  </si>
  <si>
    <t>Equipments</t>
  </si>
  <si>
    <t>Laptops</t>
  </si>
  <si>
    <t>U. Price</t>
  </si>
  <si>
    <t>Equipment Degradation</t>
  </si>
  <si>
    <t>Office Furniture</t>
  </si>
  <si>
    <t>Office Furniture Degradation</t>
  </si>
  <si>
    <t>Int flights</t>
  </si>
  <si>
    <t>Equip &amp; Furnishing</t>
  </si>
  <si>
    <t>DCF Valuation</t>
  </si>
  <si>
    <t>Expenses</t>
  </si>
  <si>
    <t>Free Cash Flow (FCF)</t>
  </si>
  <si>
    <t>Discount Factor</t>
  </si>
  <si>
    <t>Present Value of FCF</t>
  </si>
  <si>
    <t>Discount Rate</t>
  </si>
  <si>
    <t>FCF</t>
  </si>
  <si>
    <t>Conservative Growth Rate</t>
  </si>
  <si>
    <t>Median Growth Rate</t>
  </si>
  <si>
    <t>Total OPEX</t>
  </si>
  <si>
    <t>Total CAPEX</t>
  </si>
  <si>
    <t>Final Year FCF 
(M USD)</t>
  </si>
  <si>
    <t>Cost of Equity=</t>
  </si>
  <si>
    <t>= Discount Rate</t>
  </si>
  <si>
    <t>EBITDA</t>
  </si>
  <si>
    <t>free zone 0% tax</t>
  </si>
  <si>
    <t>DFCF</t>
  </si>
  <si>
    <t>FCF Growth Yoy</t>
  </si>
  <si>
    <t>Discount FCF Growth YoY</t>
  </si>
  <si>
    <t>Termival Value</t>
  </si>
  <si>
    <t>Discounted TV</t>
  </si>
  <si>
    <t>Enterprise Value</t>
  </si>
  <si>
    <t>Method</t>
  </si>
  <si>
    <t>Cost to Build - 3.5x</t>
  </si>
  <si>
    <t>DCF</t>
  </si>
  <si>
    <t>Only KSA Market &amp; considered 0% Growth</t>
  </si>
  <si>
    <t>CCA</t>
  </si>
  <si>
    <t>Sunrun</t>
  </si>
  <si>
    <t>5.13x</t>
  </si>
  <si>
    <t>41.67x</t>
  </si>
  <si>
    <t>Sunnova Energy</t>
  </si>
  <si>
    <t>4.44x</t>
  </si>
  <si>
    <t>33.33x</t>
  </si>
  <si>
    <t>Enphase Energy</t>
  </si>
  <si>
    <t>15.79x</t>
  </si>
  <si>
    <t>100.00x</t>
  </si>
  <si>
    <t>Schneider Electric</t>
  </si>
  <si>
    <t>2.00x</t>
  </si>
  <si>
    <t>20.00x</t>
  </si>
  <si>
    <t>C3.ai</t>
  </si>
  <si>
    <t>16.00x</t>
  </si>
  <si>
    <t>N/A</t>
  </si>
  <si>
    <t>Upwork</t>
  </si>
  <si>
    <t>10.00x</t>
  </si>
  <si>
    <t>Fiverr</t>
  </si>
  <si>
    <t>6.67x</t>
  </si>
  <si>
    <t>Company</t>
  </si>
  <si>
    <t>Revenue 
USD - M</t>
  </si>
  <si>
    <t>EV/REV</t>
  </si>
  <si>
    <t>EV/EBITDA</t>
  </si>
  <si>
    <t>CCA Valuation</t>
  </si>
  <si>
    <t>Lower Range</t>
  </si>
  <si>
    <t>Conervative</t>
  </si>
  <si>
    <t>VCM</t>
  </si>
  <si>
    <t>Target Exit Value</t>
  </si>
  <si>
    <t>EBITDA
USD - M</t>
  </si>
  <si>
    <t>EV
USD - M</t>
  </si>
  <si>
    <t>in 7 years</t>
  </si>
  <si>
    <t>based on median market shares and growth rate</t>
  </si>
  <si>
    <t>Req. ROR</t>
  </si>
  <si>
    <t>Investment Amount</t>
  </si>
  <si>
    <t>Pre-Money Valuation</t>
  </si>
  <si>
    <t>We will consider VCM</t>
  </si>
  <si>
    <t xml:space="preserve">1 Share </t>
  </si>
  <si>
    <t>Required Funds</t>
  </si>
  <si>
    <t>Funds Percentage</t>
  </si>
  <si>
    <t>Weight</t>
  </si>
  <si>
    <t>BS &amp;Marketing</t>
  </si>
  <si>
    <t>Admin</t>
  </si>
  <si>
    <t>Shares Percentage</t>
  </si>
  <si>
    <t>Since its pre-seed to seed we will multiply shares by threefolds and have considered the most conservative valuation</t>
  </si>
  <si>
    <t>Terminal  Growth Rate</t>
  </si>
  <si>
    <t xml:space="preserve">Risk </t>
  </si>
  <si>
    <t>free rate</t>
  </si>
  <si>
    <t xml:space="preserve">Market </t>
  </si>
  <si>
    <t>Risk</t>
  </si>
  <si>
    <t xml:space="preserve"> Premium</t>
  </si>
  <si>
    <t>Equity Risk</t>
  </si>
  <si>
    <t xml:space="preserve">Discount </t>
  </si>
  <si>
    <t>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</si>
</sst>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0.000%"/>
    <numFmt numFmtId="168" formatCode="_(* #,##0_);_(* \(#,##0\);_(* &quot;-&quot;??_);_(@_)"/>
    <numFmt numFmtId="169" formatCode="0.0000%"/>
    <numFmt numFmtId="170" formatCode="0.000000000"/>
    <numFmt numFmtId="171" formatCode="_([$AUD]\ * #,##0.00_);_([$AUD]\ * \(#,##0.00\);_([$AUD]\ * &quot;-&quot;??_);_(@_)"/>
    <numFmt numFmtId="172" formatCode="_([$USD]\ * #,##0.00_);_([$USD]\ * \(#,##0.00\);_([$USD]\ * &quot;-&quot;??_);_(@_)"/>
    <numFmt numFmtId="173" formatCode="_-[$$-409]* #,##0.00_ ;_-[$$-409]* \-#,##0.00\ ;_-[$$-409]* &quot;-&quot;??_ ;_-@_ "/>
    <numFmt numFmtId="174" formatCode="_-[$SAR]\ * #,##0.00_-;\-[$SAR]\ * #,##0.00_-;_-[$SAR]\ * &quot;-&quot;??_-;_-@_-"/>
    <numFmt numFmtId="175" formatCode="_-* #,##0_-;\-* #,##0_-;_-* &quot;-&quot;??_-;_-@_-"/>
    <numFmt numFmtId="176" formatCode="_-[$EGP]\ * #,##0.00_-;\-[$EGP]\ * #,##0.00_-;_-[$EGP]\ * &quot;-&quot;??_-;_-@_-"/>
    <numFmt numFmtId="177" formatCode="_-[$$-409]* #,##0_ ;_-[$$-409]* \-#,##0\ ;_-[$$-409]* &quot;-&quot;??_ ;_-@_ "/>
    <numFmt numFmtId="178" formatCode="0.0"/>
    <numFmt numFmtId="179" formatCode="_(* #,##0.000_);_(* \(#,##0.000\);_(* &quot;-&quot;??_);_(@_)"/>
    <numFmt numFmtId="180" formatCode="_-[$USD]\ * #,##0.00_-;\-[$USD]\ * #,##0.00_-;_-[$USD]\ 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rgb="FF040C28"/>
      <name val="Arial"/>
      <family val="2"/>
    </font>
    <font>
      <b/>
      <sz val="10"/>
      <color theme="1"/>
      <name val="Calisto MT"/>
      <family val="1"/>
    </font>
    <font>
      <sz val="10"/>
      <color theme="1"/>
      <name val="Calisto MT"/>
      <family val="1"/>
    </font>
    <font>
      <b/>
      <sz val="11"/>
      <color rgb="FF202124"/>
      <name val="Calibri"/>
      <family val="2"/>
      <scheme val="minor"/>
    </font>
    <font>
      <sz val="11"/>
      <color rgb="FF202124"/>
      <name val="Calibri"/>
      <family val="2"/>
      <scheme val="minor"/>
    </font>
    <font>
      <b/>
      <sz val="11"/>
      <color rgb="FF202124"/>
      <name val="Arial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sto MT"/>
      <family val="1"/>
    </font>
    <font>
      <b/>
      <sz val="6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0"/>
      <name val="Arial"/>
      <family val="2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theme="7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rgb="FF374151"/>
      <name val="Arial"/>
      <family val="2"/>
    </font>
    <font>
      <sz val="11"/>
      <color rgb="FF374151"/>
      <name val="Calibri"/>
      <family val="2"/>
      <scheme val="minor"/>
    </font>
    <font>
      <sz val="9.6"/>
      <color theme="1"/>
      <name val="Arial"/>
      <family val="2"/>
    </font>
    <font>
      <sz val="9.6"/>
      <color theme="1"/>
      <name val="Arial"/>
      <family val="2"/>
    </font>
    <font>
      <sz val="11"/>
      <color theme="0" tint="-4.9989318521683403E-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AAEA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EFEB8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FFFFFF"/>
      </right>
      <top style="medium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FFFFFF"/>
      </left>
      <right style="medium">
        <color indexed="64"/>
      </right>
      <top style="medium">
        <color indexed="64"/>
      </top>
      <bottom/>
      <diagonal/>
    </border>
    <border>
      <left style="medium">
        <color rgb="FFFFFFFF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0">
    <xf numFmtId="0" fontId="0" fillId="0" borderId="0" xfId="0"/>
    <xf numFmtId="9" fontId="0" fillId="0" borderId="0" xfId="3" applyFont="1"/>
    <xf numFmtId="166" fontId="0" fillId="0" borderId="0" xfId="3" applyNumberFormat="1" applyFont="1"/>
    <xf numFmtId="3" fontId="3" fillId="0" borderId="0" xfId="0" applyNumberFormat="1" applyFont="1"/>
    <xf numFmtId="0" fontId="2" fillId="0" borderId="1" xfId="0" applyFont="1" applyBorder="1"/>
    <xf numFmtId="0" fontId="2" fillId="0" borderId="4" xfId="0" applyFont="1" applyBorder="1"/>
    <xf numFmtId="0" fontId="2" fillId="0" borderId="7" xfId="0" applyFont="1" applyBorder="1"/>
    <xf numFmtId="168" fontId="5" fillId="0" borderId="0" xfId="1" applyNumberFormat="1" applyFont="1" applyFill="1" applyBorder="1" applyAlignment="1">
      <alignment horizontal="left" vertical="center" wrapText="1" readingOrder="1"/>
    </xf>
    <xf numFmtId="10" fontId="5" fillId="0" borderId="0" xfId="3" applyNumberFormat="1" applyFont="1" applyFill="1" applyBorder="1" applyAlignment="1">
      <alignment horizontal="left" vertical="center" wrapText="1" readingOrder="1"/>
    </xf>
    <xf numFmtId="0" fontId="0" fillId="0" borderId="7" xfId="0" applyBorder="1"/>
    <xf numFmtId="168" fontId="0" fillId="0" borderId="0" xfId="1" applyNumberFormat="1" applyFont="1" applyBorder="1"/>
    <xf numFmtId="10" fontId="0" fillId="0" borderId="0" xfId="3" applyNumberFormat="1" applyFont="1" applyBorder="1"/>
    <xf numFmtId="0" fontId="0" fillId="0" borderId="8" xfId="0" applyBorder="1"/>
    <xf numFmtId="0" fontId="2" fillId="2" borderId="7" xfId="0" applyFont="1" applyFill="1" applyBorder="1"/>
    <xf numFmtId="168" fontId="0" fillId="2" borderId="0" xfId="1" applyNumberFormat="1" applyFont="1" applyFill="1" applyBorder="1"/>
    <xf numFmtId="168" fontId="2" fillId="2" borderId="0" xfId="1" applyNumberFormat="1" applyFont="1" applyFill="1" applyBorder="1"/>
    <xf numFmtId="10" fontId="2" fillId="2" borderId="0" xfId="3" applyNumberFormat="1" applyFont="1" applyFill="1" applyBorder="1"/>
    <xf numFmtId="0" fontId="2" fillId="3" borderId="7" xfId="0" applyFont="1" applyFill="1" applyBorder="1" applyAlignment="1">
      <alignment wrapText="1"/>
    </xf>
    <xf numFmtId="168" fontId="2" fillId="3" borderId="0" xfId="1" applyNumberFormat="1" applyFont="1" applyFill="1" applyBorder="1"/>
    <xf numFmtId="10" fontId="2" fillId="3" borderId="0" xfId="3" applyNumberFormat="1" applyFont="1" applyFill="1" applyBorder="1"/>
    <xf numFmtId="0" fontId="0" fillId="4" borderId="4" xfId="0" applyFill="1" applyBorder="1"/>
    <xf numFmtId="9" fontId="0" fillId="4" borderId="9" xfId="3" applyFont="1" applyFill="1" applyBorder="1"/>
    <xf numFmtId="0" fontId="0" fillId="4" borderId="9" xfId="0" applyFill="1" applyBorder="1"/>
    <xf numFmtId="168" fontId="0" fillId="4" borderId="9" xfId="1" applyNumberFormat="1" applyFont="1" applyFill="1" applyBorder="1"/>
    <xf numFmtId="10" fontId="0" fillId="4" borderId="9" xfId="3" applyNumberFormat="1" applyFont="1" applyFill="1" applyBorder="1"/>
    <xf numFmtId="165" fontId="0" fillId="4" borderId="10" xfId="1" applyFont="1" applyFill="1" applyBorder="1"/>
    <xf numFmtId="165" fontId="0" fillId="0" borderId="0" xfId="1" applyFont="1"/>
    <xf numFmtId="1" fontId="0" fillId="0" borderId="0" xfId="3" applyNumberFormat="1" applyFont="1" applyBorder="1"/>
    <xf numFmtId="0" fontId="0" fillId="0" borderId="9" xfId="0" applyBorder="1"/>
    <xf numFmtId="164" fontId="0" fillId="0" borderId="0" xfId="2" applyFont="1" applyBorder="1"/>
    <xf numFmtId="9" fontId="0" fillId="0" borderId="0" xfId="3" applyFont="1" applyBorder="1"/>
    <xf numFmtId="0" fontId="2" fillId="0" borderId="0" xfId="0" applyFont="1"/>
    <xf numFmtId="9" fontId="2" fillId="0" borderId="0" xfId="3" applyFont="1" applyBorder="1"/>
    <xf numFmtId="0" fontId="0" fillId="0" borderId="0" xfId="0" applyAlignment="1">
      <alignment horizontal="right"/>
    </xf>
    <xf numFmtId="0" fontId="9" fillId="0" borderId="0" xfId="0" applyFont="1" applyAlignment="1">
      <alignment horizontal="left" vertical="center" wrapText="1" readingOrder="1"/>
    </xf>
    <xf numFmtId="0" fontId="10" fillId="0" borderId="0" xfId="0" applyFont="1"/>
    <xf numFmtId="0" fontId="10" fillId="0" borderId="0" xfId="0" applyFont="1" applyAlignment="1">
      <alignment horizontal="left" vertical="center" wrapText="1" readingOrder="1"/>
    </xf>
    <xf numFmtId="164" fontId="0" fillId="0" borderId="0" xfId="0" applyNumberFormat="1"/>
    <xf numFmtId="2" fontId="0" fillId="0" borderId="0" xfId="3" applyNumberFormat="1" applyFont="1" applyBorder="1"/>
    <xf numFmtId="0" fontId="9" fillId="0" borderId="0" xfId="0" applyFont="1" applyAlignment="1">
      <alignment horizontal="center"/>
    </xf>
    <xf numFmtId="2" fontId="0" fillId="0" borderId="0" xfId="0" applyNumberFormat="1"/>
    <xf numFmtId="0" fontId="9" fillId="0" borderId="0" xfId="0" applyFont="1" applyAlignment="1">
      <alignment horizontal="center" vertical="center" wrapText="1" readingOrder="1"/>
    </xf>
    <xf numFmtId="0" fontId="9" fillId="0" borderId="0" xfId="0" applyFont="1"/>
    <xf numFmtId="0" fontId="9" fillId="0" borderId="0" xfId="0" applyFont="1" applyAlignment="1">
      <alignment vertical="center" wrapText="1" readingOrder="1"/>
    </xf>
    <xf numFmtId="2" fontId="9" fillId="0" borderId="0" xfId="0" applyNumberFormat="1" applyFont="1" applyAlignment="1">
      <alignment vertical="center" wrapText="1" readingOrder="1"/>
    </xf>
    <xf numFmtId="2" fontId="2" fillId="0" borderId="0" xfId="2" applyNumberFormat="1" applyFont="1" applyBorder="1"/>
    <xf numFmtId="2" fontId="9" fillId="0" borderId="0" xfId="0" applyNumberFormat="1" applyFont="1"/>
    <xf numFmtId="2" fontId="9" fillId="0" borderId="0" xfId="0" applyNumberFormat="1" applyFont="1" applyAlignment="1">
      <alignment horizontal="center"/>
    </xf>
    <xf numFmtId="167" fontId="9" fillId="0" borderId="0" xfId="3" applyNumberFormat="1" applyFont="1" applyBorder="1" applyAlignment="1">
      <alignment vertical="center" wrapText="1" readingOrder="1"/>
    </xf>
    <xf numFmtId="167" fontId="2" fillId="0" borderId="0" xfId="3" applyNumberFormat="1" applyFont="1" applyBorder="1"/>
    <xf numFmtId="167" fontId="0" fillId="0" borderId="0" xfId="3" applyNumberFormat="1" applyFont="1" applyBorder="1"/>
    <xf numFmtId="2" fontId="2" fillId="0" borderId="0" xfId="0" applyNumberFormat="1" applyFont="1"/>
    <xf numFmtId="2" fontId="1" fillId="0" borderId="0" xfId="3" applyNumberFormat="1" applyFont="1" applyBorder="1"/>
    <xf numFmtId="165" fontId="1" fillId="0" borderId="0" xfId="1" applyFont="1" applyBorder="1" applyAlignment="1">
      <alignment horizontal="right"/>
    </xf>
    <xf numFmtId="170" fontId="0" fillId="0" borderId="0" xfId="0" applyNumberFormat="1"/>
    <xf numFmtId="9" fontId="2" fillId="0" borderId="0" xfId="3" applyFont="1" applyFill="1" applyBorder="1"/>
    <xf numFmtId="167" fontId="10" fillId="0" borderId="0" xfId="3" applyNumberFormat="1" applyFont="1" applyBorder="1" applyAlignment="1"/>
    <xf numFmtId="167" fontId="1" fillId="0" borderId="0" xfId="3" applyNumberFormat="1" applyFont="1" applyBorder="1"/>
    <xf numFmtId="10" fontId="1" fillId="0" borderId="0" xfId="3" applyNumberFormat="1" applyFont="1" applyBorder="1"/>
    <xf numFmtId="167" fontId="10" fillId="0" borderId="0" xfId="3" applyNumberFormat="1" applyFont="1" applyBorder="1" applyAlignment="1">
      <alignment horizontal="center"/>
    </xf>
    <xf numFmtId="10" fontId="10" fillId="0" borderId="0" xfId="3" applyNumberFormat="1" applyFont="1" applyBorder="1" applyAlignment="1"/>
    <xf numFmtId="1" fontId="2" fillId="0" borderId="0" xfId="0" applyNumberFormat="1" applyFont="1"/>
    <xf numFmtId="164" fontId="2" fillId="0" borderId="7" xfId="2" applyFont="1" applyBorder="1"/>
    <xf numFmtId="164" fontId="1" fillId="0" borderId="7" xfId="2" applyFont="1" applyBorder="1" applyAlignment="1">
      <alignment vertical="center" wrapText="1"/>
    </xf>
    <xf numFmtId="0" fontId="1" fillId="0" borderId="7" xfId="0" applyFont="1" applyBorder="1" applyAlignment="1">
      <alignment vertical="center" wrapText="1" readingOrder="1"/>
    </xf>
    <xf numFmtId="164" fontId="0" fillId="0" borderId="4" xfId="2" applyFont="1" applyBorder="1"/>
    <xf numFmtId="2" fontId="0" fillId="0" borderId="9" xfId="3" applyNumberFormat="1" applyFont="1" applyBorder="1"/>
    <xf numFmtId="167" fontId="0" fillId="0" borderId="9" xfId="3" applyNumberFormat="1" applyFont="1" applyBorder="1"/>
    <xf numFmtId="0" fontId="2" fillId="0" borderId="8" xfId="0" applyFont="1" applyBorder="1"/>
    <xf numFmtId="165" fontId="0" fillId="0" borderId="8" xfId="1" applyFont="1" applyBorder="1"/>
    <xf numFmtId="165" fontId="0" fillId="0" borderId="10" xfId="0" applyNumberFormat="1" applyBorder="1"/>
    <xf numFmtId="165" fontId="1" fillId="0" borderId="8" xfId="1" applyFont="1" applyBorder="1"/>
    <xf numFmtId="169" fontId="10" fillId="0" borderId="0" xfId="3" applyNumberFormat="1" applyFont="1" applyBorder="1" applyAlignment="1">
      <alignment horizontal="center"/>
    </xf>
    <xf numFmtId="2" fontId="2" fillId="0" borderId="0" xfId="3" applyNumberFormat="1" applyFont="1" applyBorder="1"/>
    <xf numFmtId="164" fontId="2" fillId="0" borderId="1" xfId="2" applyFont="1" applyBorder="1"/>
    <xf numFmtId="164" fontId="0" fillId="0" borderId="8" xfId="2" applyFont="1" applyBorder="1"/>
    <xf numFmtId="164" fontId="2" fillId="0" borderId="4" xfId="2" applyFont="1" applyBorder="1"/>
    <xf numFmtId="164" fontId="0" fillId="0" borderId="9" xfId="2" applyFont="1" applyBorder="1"/>
    <xf numFmtId="164" fontId="0" fillId="0" borderId="10" xfId="2" applyFont="1" applyBorder="1"/>
    <xf numFmtId="2" fontId="2" fillId="0" borderId="11" xfId="3" applyNumberFormat="1" applyFont="1" applyBorder="1" applyAlignment="1">
      <alignment horizontal="center"/>
    </xf>
    <xf numFmtId="167" fontId="2" fillId="0" borderId="11" xfId="3" applyNumberFormat="1" applyFont="1" applyBorder="1" applyAlignment="1">
      <alignment horizontal="center"/>
    </xf>
    <xf numFmtId="2" fontId="2" fillId="0" borderId="12" xfId="3" applyNumberFormat="1" applyFont="1" applyBorder="1" applyAlignment="1">
      <alignment horizontal="center"/>
    </xf>
    <xf numFmtId="165" fontId="0" fillId="0" borderId="0" xfId="1" applyFont="1" applyBorder="1"/>
    <xf numFmtId="165" fontId="1" fillId="0" borderId="0" xfId="1" applyFont="1" applyBorder="1"/>
    <xf numFmtId="0" fontId="0" fillId="0" borderId="1" xfId="0" applyBorder="1"/>
    <xf numFmtId="0" fontId="1" fillId="0" borderId="4" xfId="0" applyFont="1" applyBorder="1" applyAlignment="1">
      <alignment vertical="center" wrapText="1" readingOrder="1"/>
    </xf>
    <xf numFmtId="0" fontId="0" fillId="0" borderId="4" xfId="0" applyBorder="1"/>
    <xf numFmtId="9" fontId="0" fillId="0" borderId="11" xfId="3" applyFont="1" applyBorder="1"/>
    <xf numFmtId="9" fontId="0" fillId="0" borderId="9" xfId="3" applyFont="1" applyBorder="1"/>
    <xf numFmtId="165" fontId="0" fillId="0" borderId="11" xfId="1" applyFont="1" applyBorder="1"/>
    <xf numFmtId="165" fontId="0" fillId="0" borderId="9" xfId="1" applyFont="1" applyBorder="1"/>
    <xf numFmtId="0" fontId="0" fillId="0" borderId="10" xfId="0" applyBorder="1"/>
    <xf numFmtId="0" fontId="2" fillId="5" borderId="7" xfId="0" applyFont="1" applyFill="1" applyBorder="1"/>
    <xf numFmtId="0" fontId="4" fillId="0" borderId="6" xfId="0" applyFont="1" applyBorder="1" applyAlignment="1">
      <alignment horizontal="center" vertical="center" wrapText="1" readingOrder="1"/>
    </xf>
    <xf numFmtId="168" fontId="4" fillId="0" borderId="6" xfId="1" applyNumberFormat="1" applyFont="1" applyFill="1" applyBorder="1" applyAlignment="1">
      <alignment horizontal="center" vertical="center" wrapText="1" readingOrder="1"/>
    </xf>
    <xf numFmtId="2" fontId="0" fillId="0" borderId="0" xfId="3" applyNumberFormat="1" applyFont="1"/>
    <xf numFmtId="2" fontId="2" fillId="0" borderId="0" xfId="3" applyNumberFormat="1" applyFont="1"/>
    <xf numFmtId="0" fontId="12" fillId="0" borderId="7" xfId="0" applyFont="1" applyBorder="1"/>
    <xf numFmtId="9" fontId="2" fillId="0" borderId="0" xfId="3" applyFont="1"/>
    <xf numFmtId="0" fontId="5" fillId="0" borderId="0" xfId="0" applyFont="1" applyAlignment="1">
      <alignment horizontal="left" vertical="center" wrapText="1" readingOrder="1"/>
    </xf>
    <xf numFmtId="165" fontId="0" fillId="0" borderId="0" xfId="0" applyNumberFormat="1"/>
    <xf numFmtId="0" fontId="2" fillId="3" borderId="0" xfId="0" applyFont="1" applyFill="1"/>
    <xf numFmtId="0" fontId="0" fillId="7" borderId="0" xfId="0" applyFill="1"/>
    <xf numFmtId="2" fontId="0" fillId="7" borderId="0" xfId="3" applyNumberFormat="1" applyFont="1" applyFill="1"/>
    <xf numFmtId="9" fontId="0" fillId="7" borderId="0" xfId="3" applyFont="1" applyFill="1"/>
    <xf numFmtId="2" fontId="0" fillId="7" borderId="0" xfId="0" applyNumberFormat="1" applyFill="1"/>
    <xf numFmtId="0" fontId="2" fillId="7" borderId="7" xfId="0" applyFont="1" applyFill="1" applyBorder="1"/>
    <xf numFmtId="0" fontId="2" fillId="7" borderId="0" xfId="0" applyFont="1" applyFill="1"/>
    <xf numFmtId="168" fontId="2" fillId="7" borderId="0" xfId="1" applyNumberFormat="1" applyFont="1" applyFill="1" applyBorder="1"/>
    <xf numFmtId="10" fontId="2" fillId="7" borderId="0" xfId="3" applyNumberFormat="1" applyFont="1" applyFill="1" applyBorder="1"/>
    <xf numFmtId="0" fontId="2" fillId="6" borderId="7" xfId="0" applyFont="1" applyFill="1" applyBorder="1"/>
    <xf numFmtId="168" fontId="2" fillId="6" borderId="0" xfId="1" applyNumberFormat="1" applyFont="1" applyFill="1" applyBorder="1"/>
    <xf numFmtId="10" fontId="2" fillId="6" borderId="0" xfId="3" applyNumberFormat="1" applyFont="1" applyFill="1" applyBorder="1"/>
    <xf numFmtId="0" fontId="2" fillId="6" borderId="0" xfId="0" applyFont="1" applyFill="1"/>
    <xf numFmtId="0" fontId="0" fillId="8" borderId="7" xfId="0" applyFill="1" applyBorder="1"/>
    <xf numFmtId="168" fontId="0" fillId="8" borderId="0" xfId="1" applyNumberFormat="1" applyFont="1" applyFill="1" applyBorder="1"/>
    <xf numFmtId="10" fontId="0" fillId="8" borderId="0" xfId="3" applyNumberFormat="1" applyFont="1" applyFill="1" applyBorder="1"/>
    <xf numFmtId="0" fontId="0" fillId="8" borderId="0" xfId="0" applyFill="1"/>
    <xf numFmtId="0" fontId="2" fillId="9" borderId="7" xfId="0" applyFont="1" applyFill="1" applyBorder="1"/>
    <xf numFmtId="168" fontId="2" fillId="9" borderId="0" xfId="1" applyNumberFormat="1" applyFont="1" applyFill="1" applyBorder="1"/>
    <xf numFmtId="10" fontId="2" fillId="9" borderId="0" xfId="3" applyNumberFormat="1" applyFont="1" applyFill="1" applyBorder="1"/>
    <xf numFmtId="0" fontId="2" fillId="9" borderId="0" xfId="0" applyFont="1" applyFill="1"/>
    <xf numFmtId="0" fontId="0" fillId="10" borderId="0" xfId="0" applyFill="1"/>
    <xf numFmtId="2" fontId="0" fillId="10" borderId="0" xfId="3" applyNumberFormat="1" applyFont="1" applyFill="1"/>
    <xf numFmtId="9" fontId="0" fillId="10" borderId="0" xfId="3" applyFont="1" applyFill="1"/>
    <xf numFmtId="2" fontId="0" fillId="10" borderId="0" xfId="0" applyNumberFormat="1" applyFill="1"/>
    <xf numFmtId="0" fontId="0" fillId="11" borderId="0" xfId="0" applyFill="1"/>
    <xf numFmtId="2" fontId="0" fillId="11" borderId="0" xfId="3" applyNumberFormat="1" applyFont="1" applyFill="1"/>
    <xf numFmtId="9" fontId="0" fillId="11" borderId="0" xfId="3" applyFont="1" applyFill="1"/>
    <xf numFmtId="2" fontId="0" fillId="11" borderId="0" xfId="0" applyNumberFormat="1" applyFill="1"/>
    <xf numFmtId="10" fontId="0" fillId="11" borderId="0" xfId="3" applyNumberFormat="1" applyFont="1" applyFill="1"/>
    <xf numFmtId="165" fontId="0" fillId="0" borderId="10" xfId="1" applyFont="1" applyBorder="1"/>
    <xf numFmtId="0" fontId="0" fillId="12" borderId="0" xfId="0" applyFill="1"/>
    <xf numFmtId="2" fontId="0" fillId="12" borderId="0" xfId="3" applyNumberFormat="1" applyFont="1" applyFill="1"/>
    <xf numFmtId="9" fontId="0" fillId="12" borderId="0" xfId="3" applyFont="1" applyFill="1"/>
    <xf numFmtId="2" fontId="0" fillId="12" borderId="0" xfId="0" applyNumberFormat="1" applyFill="1"/>
    <xf numFmtId="0" fontId="0" fillId="13" borderId="0" xfId="0" applyFill="1"/>
    <xf numFmtId="2" fontId="0" fillId="13" borderId="0" xfId="3" applyNumberFormat="1" applyFont="1" applyFill="1"/>
    <xf numFmtId="1" fontId="0" fillId="13" borderId="0" xfId="0" applyNumberFormat="1" applyFill="1"/>
    <xf numFmtId="9" fontId="0" fillId="13" borderId="0" xfId="3" applyFont="1" applyFill="1"/>
    <xf numFmtId="2" fontId="0" fillId="13" borderId="0" xfId="0" applyNumberFormat="1" applyFill="1"/>
    <xf numFmtId="0" fontId="0" fillId="14" borderId="0" xfId="0" applyFill="1"/>
    <xf numFmtId="2" fontId="0" fillId="14" borderId="0" xfId="3" applyNumberFormat="1" applyFont="1" applyFill="1"/>
    <xf numFmtId="9" fontId="0" fillId="14" borderId="0" xfId="3" applyFont="1" applyFill="1"/>
    <xf numFmtId="2" fontId="0" fillId="14" borderId="0" xfId="0" applyNumberFormat="1" applyFill="1"/>
    <xf numFmtId="0" fontId="0" fillId="15" borderId="0" xfId="0" applyFill="1"/>
    <xf numFmtId="2" fontId="0" fillId="15" borderId="0" xfId="3" applyNumberFormat="1" applyFont="1" applyFill="1"/>
    <xf numFmtId="9" fontId="0" fillId="15" borderId="0" xfId="3" applyFont="1" applyFill="1"/>
    <xf numFmtId="2" fontId="0" fillId="15" borderId="0" xfId="0" applyNumberFormat="1" applyFill="1"/>
    <xf numFmtId="0" fontId="0" fillId="16" borderId="0" xfId="0" applyFill="1"/>
    <xf numFmtId="2" fontId="0" fillId="16" borderId="0" xfId="3" applyNumberFormat="1" applyFont="1" applyFill="1"/>
    <xf numFmtId="9" fontId="0" fillId="16" borderId="0" xfId="3" applyFont="1" applyFill="1"/>
    <xf numFmtId="2" fontId="0" fillId="16" borderId="0" xfId="0" applyNumberFormat="1" applyFill="1"/>
    <xf numFmtId="165" fontId="0" fillId="0" borderId="0" xfId="1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9" fontId="9" fillId="0" borderId="0" xfId="3" applyFont="1" applyBorder="1" applyAlignment="1">
      <alignment vertical="center" wrapText="1" readingOrder="1"/>
    </xf>
    <xf numFmtId="9" fontId="1" fillId="0" borderId="0" xfId="3" applyFont="1" applyBorder="1" applyAlignment="1">
      <alignment horizontal="right"/>
    </xf>
    <xf numFmtId="9" fontId="2" fillId="0" borderId="0" xfId="3" applyFont="1" applyBorder="1" applyAlignment="1"/>
    <xf numFmtId="165" fontId="2" fillId="0" borderId="0" xfId="1" applyFont="1" applyBorder="1"/>
    <xf numFmtId="165" fontId="2" fillId="0" borderId="0" xfId="1" applyFont="1" applyBorder="1" applyAlignment="1"/>
    <xf numFmtId="165" fontId="9" fillId="0" borderId="0" xfId="1" applyFont="1" applyBorder="1" applyAlignment="1">
      <alignment vertical="center" wrapText="1" readingOrder="1"/>
    </xf>
    <xf numFmtId="165" fontId="9" fillId="0" borderId="0" xfId="1" applyFont="1" applyBorder="1" applyAlignment="1"/>
    <xf numFmtId="165" fontId="9" fillId="0" borderId="0" xfId="1" applyFont="1" applyBorder="1" applyAlignment="1">
      <alignment horizontal="center"/>
    </xf>
    <xf numFmtId="9" fontId="1" fillId="0" borderId="9" xfId="3" applyFont="1" applyBorder="1" applyAlignment="1">
      <alignment horizontal="right"/>
    </xf>
    <xf numFmtId="0" fontId="0" fillId="0" borderId="0" xfId="0" applyAlignment="1">
      <alignment horizontal="left"/>
    </xf>
    <xf numFmtId="164" fontId="2" fillId="0" borderId="7" xfId="2" applyFont="1" applyBorder="1" applyAlignment="1">
      <alignment horizontal="left"/>
    </xf>
    <xf numFmtId="0" fontId="1" fillId="0" borderId="7" xfId="0" applyFont="1" applyBorder="1" applyAlignment="1">
      <alignment horizontal="left" vertical="center" wrapText="1" readingOrder="1"/>
    </xf>
    <xf numFmtId="164" fontId="0" fillId="0" borderId="4" xfId="2" applyFont="1" applyBorder="1" applyAlignment="1">
      <alignment horizontal="left"/>
    </xf>
    <xf numFmtId="164" fontId="0" fillId="0" borderId="0" xfId="2" applyFont="1" applyBorder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2" applyFont="1" applyBorder="1"/>
    <xf numFmtId="9" fontId="9" fillId="0" borderId="0" xfId="3" applyFont="1" applyBorder="1" applyAlignment="1">
      <alignment horizontal="left" vertical="center" wrapText="1" readingOrder="1"/>
    </xf>
    <xf numFmtId="0" fontId="0" fillId="3" borderId="0" xfId="0" applyFill="1"/>
    <xf numFmtId="0" fontId="9" fillId="3" borderId="0" xfId="0" applyFont="1" applyFill="1" applyAlignment="1">
      <alignment vertical="center" wrapText="1" readingOrder="1"/>
    </xf>
    <xf numFmtId="0" fontId="9" fillId="3" borderId="0" xfId="0" applyFont="1" applyFill="1" applyAlignment="1">
      <alignment horizontal="left" vertical="center" wrapText="1" readingOrder="1"/>
    </xf>
    <xf numFmtId="0" fontId="10" fillId="3" borderId="0" xfId="0" applyFont="1" applyFill="1"/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horizontal="left" vertical="center" wrapText="1" readingOrder="1"/>
    </xf>
    <xf numFmtId="9" fontId="0" fillId="3" borderId="0" xfId="3" applyFont="1" applyFill="1" applyBorder="1"/>
    <xf numFmtId="165" fontId="0" fillId="3" borderId="0" xfId="1" applyFont="1" applyFill="1" applyBorder="1"/>
    <xf numFmtId="0" fontId="0" fillId="3" borderId="0" xfId="0" applyFill="1" applyAlignment="1">
      <alignment horizontal="left"/>
    </xf>
    <xf numFmtId="0" fontId="0" fillId="0" borderId="11" xfId="0" applyBorder="1"/>
    <xf numFmtId="0" fontId="0" fillId="0" borderId="12" xfId="0" applyBorder="1"/>
    <xf numFmtId="9" fontId="0" fillId="0" borderId="8" xfId="3" applyFont="1" applyBorder="1"/>
    <xf numFmtId="10" fontId="0" fillId="0" borderId="9" xfId="3" applyNumberFormat="1" applyFont="1" applyBorder="1"/>
    <xf numFmtId="0" fontId="2" fillId="0" borderId="11" xfId="0" applyFont="1" applyBorder="1"/>
    <xf numFmtId="0" fontId="2" fillId="0" borderId="12" xfId="0" applyFont="1" applyBorder="1"/>
    <xf numFmtId="0" fontId="15" fillId="0" borderId="0" xfId="0" applyFont="1"/>
    <xf numFmtId="3" fontId="0" fillId="0" borderId="0" xfId="0" applyNumberFormat="1"/>
    <xf numFmtId="10" fontId="0" fillId="0" borderId="0" xfId="0" applyNumberFormat="1"/>
    <xf numFmtId="3" fontId="0" fillId="0" borderId="9" xfId="0" applyNumberFormat="1" applyBorder="1"/>
    <xf numFmtId="166" fontId="0" fillId="0" borderId="9" xfId="0" applyNumberFormat="1" applyBorder="1"/>
    <xf numFmtId="0" fontId="0" fillId="0" borderId="11" xfId="0" applyBorder="1" applyAlignment="1">
      <alignment horizontal="center"/>
    </xf>
    <xf numFmtId="0" fontId="2" fillId="0" borderId="0" xfId="0" applyFont="1" applyAlignment="1">
      <alignment horizontal="right"/>
    </xf>
    <xf numFmtId="3" fontId="16" fillId="0" borderId="0" xfId="0" applyNumberFormat="1" applyFont="1"/>
    <xf numFmtId="0" fontId="4" fillId="0" borderId="13" xfId="0" applyFont="1" applyBorder="1" applyAlignment="1">
      <alignment horizontal="left" vertical="center" wrapText="1" readingOrder="1"/>
    </xf>
    <xf numFmtId="0" fontId="4" fillId="0" borderId="14" xfId="0" applyFont="1" applyBorder="1" applyAlignment="1">
      <alignment horizontal="left" vertical="center" wrapText="1" readingOrder="1"/>
    </xf>
    <xf numFmtId="168" fontId="7" fillId="0" borderId="0" xfId="0" applyNumberFormat="1" applyFont="1"/>
    <xf numFmtId="168" fontId="8" fillId="6" borderId="0" xfId="0" applyNumberFormat="1" applyFont="1" applyFill="1"/>
    <xf numFmtId="0" fontId="2" fillId="6" borderId="8" xfId="0" applyFont="1" applyFill="1" applyBorder="1"/>
    <xf numFmtId="168" fontId="6" fillId="7" borderId="0" xfId="0" applyNumberFormat="1" applyFont="1" applyFill="1"/>
    <xf numFmtId="0" fontId="2" fillId="7" borderId="8" xfId="0" applyFont="1" applyFill="1" applyBorder="1"/>
    <xf numFmtId="0" fontId="0" fillId="8" borderId="8" xfId="0" applyFill="1" applyBorder="1"/>
    <xf numFmtId="0" fontId="2" fillId="9" borderId="8" xfId="0" applyFont="1" applyFill="1" applyBorder="1"/>
    <xf numFmtId="165" fontId="0" fillId="0" borderId="8" xfId="0" applyNumberFormat="1" applyBorder="1"/>
    <xf numFmtId="3" fontId="2" fillId="3" borderId="0" xfId="0" applyNumberFormat="1" applyFont="1" applyFill="1"/>
    <xf numFmtId="0" fontId="2" fillId="3" borderId="8" xfId="0" applyFont="1" applyFill="1" applyBorder="1"/>
    <xf numFmtId="0" fontId="5" fillId="0" borderId="8" xfId="0" applyFont="1" applyBorder="1" applyAlignment="1">
      <alignment horizontal="left" vertical="center" wrapText="1" readingOrder="1"/>
    </xf>
    <xf numFmtId="1" fontId="0" fillId="0" borderId="0" xfId="0" applyNumberFormat="1"/>
    <xf numFmtId="0" fontId="0" fillId="2" borderId="0" xfId="0" applyFill="1"/>
    <xf numFmtId="0" fontId="2" fillId="2" borderId="8" xfId="0" applyFont="1" applyFill="1" applyBorder="1"/>
    <xf numFmtId="0" fontId="0" fillId="5" borderId="0" xfId="0" applyFill="1"/>
    <xf numFmtId="168" fontId="0" fillId="5" borderId="0" xfId="1" applyNumberFormat="1" applyFont="1" applyFill="1" applyBorder="1"/>
    <xf numFmtId="0" fontId="0" fillId="5" borderId="8" xfId="0" applyFill="1" applyBorder="1"/>
    <xf numFmtId="168" fontId="0" fillId="6" borderId="0" xfId="1" applyNumberFormat="1" applyFont="1" applyFill="1" applyBorder="1"/>
    <xf numFmtId="0" fontId="0" fillId="6" borderId="0" xfId="0" applyFill="1"/>
    <xf numFmtId="0" fontId="0" fillId="6" borderId="8" xfId="0" applyFill="1" applyBorder="1"/>
    <xf numFmtId="43" fontId="0" fillId="0" borderId="8" xfId="0" applyNumberFormat="1" applyBorder="1"/>
    <xf numFmtId="9" fontId="0" fillId="0" borderId="10" xfId="3" applyFont="1" applyBorder="1"/>
    <xf numFmtId="0" fontId="2" fillId="0" borderId="15" xfId="0" applyFont="1" applyBorder="1"/>
    <xf numFmtId="0" fontId="2" fillId="0" borderId="16" xfId="0" applyFont="1" applyBorder="1"/>
    <xf numFmtId="43" fontId="0" fillId="0" borderId="9" xfId="0" applyNumberFormat="1" applyBorder="1"/>
    <xf numFmtId="0" fontId="2" fillId="0" borderId="17" xfId="0" applyFont="1" applyBorder="1"/>
    <xf numFmtId="171" fontId="2" fillId="0" borderId="11" xfId="0" applyNumberFormat="1" applyFont="1" applyBorder="1"/>
    <xf numFmtId="0" fontId="17" fillId="0" borderId="11" xfId="0" applyFont="1" applyBorder="1"/>
    <xf numFmtId="172" fontId="0" fillId="0" borderId="0" xfId="0" applyNumberFormat="1"/>
    <xf numFmtId="0" fontId="2" fillId="0" borderId="9" xfId="0" applyFont="1" applyBorder="1"/>
    <xf numFmtId="0" fontId="15" fillId="0" borderId="9" xfId="0" applyFont="1" applyBorder="1"/>
    <xf numFmtId="0" fontId="2" fillId="0" borderId="0" xfId="0" applyFont="1" applyAlignment="1">
      <alignment horizontal="center"/>
    </xf>
    <xf numFmtId="165" fontId="0" fillId="0" borderId="0" xfId="1" applyFont="1" applyFill="1" applyBorder="1"/>
    <xf numFmtId="165" fontId="0" fillId="0" borderId="0" xfId="3" applyNumberFormat="1" applyFont="1" applyBorder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2" fillId="0" borderId="11" xfId="1" applyFont="1" applyBorder="1"/>
    <xf numFmtId="165" fontId="2" fillId="0" borderId="12" xfId="1" applyFont="1" applyBorder="1"/>
    <xf numFmtId="165" fontId="2" fillId="0" borderId="8" xfId="1" applyFont="1" applyBorder="1"/>
    <xf numFmtId="165" fontId="0" fillId="0" borderId="7" xfId="1" applyFont="1" applyBorder="1"/>
    <xf numFmtId="165" fontId="0" fillId="0" borderId="4" xfId="1" applyFont="1" applyBorder="1"/>
    <xf numFmtId="165" fontId="0" fillId="0" borderId="9" xfId="0" applyNumberFormat="1" applyBorder="1"/>
    <xf numFmtId="9" fontId="0" fillId="0" borderId="0" xfId="0" applyNumberFormat="1"/>
    <xf numFmtId="0" fontId="2" fillId="10" borderId="0" xfId="0" applyFont="1" applyFill="1"/>
    <xf numFmtId="165" fontId="2" fillId="10" borderId="0" xfId="1" applyFont="1" applyFill="1" applyBorder="1"/>
    <xf numFmtId="165" fontId="0" fillId="10" borderId="0" xfId="1" applyFont="1" applyFill="1" applyBorder="1"/>
    <xf numFmtId="165" fontId="0" fillId="0" borderId="0" xfId="1" applyFont="1" applyBorder="1" applyAlignment="1">
      <alignment horizontal="left"/>
    </xf>
    <xf numFmtId="0" fontId="2" fillId="5" borderId="0" xfId="0" applyFont="1" applyFill="1"/>
    <xf numFmtId="165" fontId="2" fillId="5" borderId="0" xfId="1" applyFont="1" applyFill="1"/>
    <xf numFmtId="0" fontId="2" fillId="0" borderId="11" xfId="0" applyFont="1" applyBorder="1" applyAlignment="1">
      <alignment horizontal="center"/>
    </xf>
    <xf numFmtId="43" fontId="0" fillId="0" borderId="0" xfId="0" applyNumberFormat="1"/>
    <xf numFmtId="9" fontId="0" fillId="0" borderId="18" xfId="3" applyFont="1" applyBorder="1"/>
    <xf numFmtId="173" fontId="0" fillId="0" borderId="0" xfId="0" applyNumberFormat="1"/>
    <xf numFmtId="10" fontId="0" fillId="0" borderId="0" xfId="3" applyNumberFormat="1" applyFont="1"/>
    <xf numFmtId="0" fontId="1" fillId="0" borderId="0" xfId="0" applyFont="1" applyAlignment="1">
      <alignment vertical="center" wrapText="1" readingOrder="1"/>
    </xf>
    <xf numFmtId="9" fontId="0" fillId="0" borderId="0" xfId="3" applyFont="1" applyAlignment="1">
      <alignment horizontal="right"/>
    </xf>
    <xf numFmtId="173" fontId="0" fillId="0" borderId="0" xfId="3" applyNumberFormat="1" applyFont="1" applyBorder="1"/>
    <xf numFmtId="173" fontId="2" fillId="0" borderId="8" xfId="0" applyNumberFormat="1" applyFont="1" applyBorder="1"/>
    <xf numFmtId="173" fontId="1" fillId="0" borderId="8" xfId="1" applyNumberFormat="1" applyFont="1" applyBorder="1"/>
    <xf numFmtId="173" fontId="0" fillId="0" borderId="10" xfId="0" applyNumberFormat="1" applyBorder="1"/>
    <xf numFmtId="173" fontId="2" fillId="0" borderId="0" xfId="0" applyNumberFormat="1" applyFont="1"/>
    <xf numFmtId="173" fontId="0" fillId="3" borderId="0" xfId="0" applyNumberFormat="1" applyFill="1"/>
    <xf numFmtId="173" fontId="20" fillId="0" borderId="0" xfId="3" applyNumberFormat="1" applyFont="1" applyBorder="1" applyAlignment="1">
      <alignment horizontal="left"/>
    </xf>
    <xf numFmtId="173" fontId="9" fillId="0" borderId="0" xfId="0" applyNumberFormat="1" applyFont="1" applyAlignment="1">
      <alignment vertical="center" wrapText="1" readingOrder="1"/>
    </xf>
    <xf numFmtId="173" fontId="0" fillId="0" borderId="8" xfId="1" applyNumberFormat="1" applyFont="1" applyBorder="1"/>
    <xf numFmtId="173" fontId="0" fillId="0" borderId="8" xfId="0" applyNumberFormat="1" applyBorder="1"/>
    <xf numFmtId="1" fontId="0" fillId="0" borderId="0" xfId="3" applyNumberFormat="1" applyFont="1" applyFill="1" applyBorder="1"/>
    <xf numFmtId="9" fontId="0" fillId="0" borderId="0" xfId="3" applyFont="1" applyFill="1" applyBorder="1"/>
    <xf numFmtId="164" fontId="0" fillId="0" borderId="0" xfId="2" applyFont="1" applyFill="1" applyBorder="1"/>
    <xf numFmtId="2" fontId="0" fillId="0" borderId="0" xfId="3" applyNumberFormat="1" applyFont="1" applyFill="1" applyBorder="1"/>
    <xf numFmtId="167" fontId="0" fillId="0" borderId="0" xfId="3" applyNumberFormat="1" applyFont="1" applyFill="1" applyBorder="1"/>
    <xf numFmtId="173" fontId="0" fillId="0" borderId="0" xfId="3" applyNumberFormat="1" applyFont="1" applyFill="1" applyBorder="1"/>
    <xf numFmtId="173" fontId="0" fillId="0" borderId="0" xfId="3" applyNumberFormat="1" applyFont="1" applyBorder="1" applyAlignment="1">
      <alignment horizontal="center"/>
    </xf>
    <xf numFmtId="164" fontId="0" fillId="0" borderId="0" xfId="2" applyFont="1" applyBorder="1" applyAlignment="1"/>
    <xf numFmtId="1" fontId="0" fillId="0" borderId="0" xfId="2" applyNumberFormat="1" applyFont="1" applyBorder="1"/>
    <xf numFmtId="164" fontId="1" fillId="0" borderId="0" xfId="2" applyFont="1" applyBorder="1"/>
    <xf numFmtId="174" fontId="0" fillId="0" borderId="0" xfId="0" applyNumberFormat="1"/>
    <xf numFmtId="175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3" fontId="0" fillId="0" borderId="0" xfId="0" applyNumberFormat="1" applyAlignment="1">
      <alignment vertical="center" wrapText="1"/>
    </xf>
    <xf numFmtId="3" fontId="0" fillId="0" borderId="0" xfId="0" applyNumberFormat="1" applyAlignment="1">
      <alignment vertical="center" wrapText="1"/>
    </xf>
    <xf numFmtId="174" fontId="2" fillId="0" borderId="11" xfId="0" applyNumberFormat="1" applyFont="1" applyBorder="1"/>
    <xf numFmtId="174" fontId="2" fillId="0" borderId="9" xfId="0" applyNumberFormat="1" applyFont="1" applyBorder="1"/>
    <xf numFmtId="176" fontId="0" fillId="0" borderId="0" xfId="0" applyNumberFormat="1"/>
    <xf numFmtId="176" fontId="2" fillId="0" borderId="9" xfId="0" applyNumberFormat="1" applyFont="1" applyBorder="1"/>
    <xf numFmtId="0" fontId="0" fillId="0" borderId="0" xfId="0" applyAlignment="1">
      <alignment horizontal="center" vertical="center" wrapText="1"/>
    </xf>
    <xf numFmtId="164" fontId="2" fillId="0" borderId="10" xfId="0" applyNumberFormat="1" applyFont="1" applyBorder="1"/>
    <xf numFmtId="164" fontId="1" fillId="0" borderId="12" xfId="2" applyFont="1" applyBorder="1"/>
    <xf numFmtId="9" fontId="21" fillId="0" borderId="0" xfId="3" applyFont="1"/>
    <xf numFmtId="166" fontId="0" fillId="0" borderId="0" xfId="3" applyNumberFormat="1" applyFont="1" applyBorder="1"/>
    <xf numFmtId="9" fontId="0" fillId="0" borderId="0" xfId="3" applyFont="1" applyBorder="1" applyAlignment="1">
      <alignment horizontal="right"/>
    </xf>
    <xf numFmtId="0" fontId="19" fillId="0" borderId="0" xfId="0" applyFont="1"/>
    <xf numFmtId="164" fontId="0" fillId="0" borderId="0" xfId="0" applyNumberFormat="1" applyAlignment="1">
      <alignment horizontal="center"/>
    </xf>
    <xf numFmtId="173" fontId="0" fillId="0" borderId="0" xfId="1" applyNumberFormat="1" applyFont="1" applyBorder="1" applyAlignment="1">
      <alignment horizontal="center"/>
    </xf>
    <xf numFmtId="177" fontId="0" fillId="0" borderId="0" xfId="3" applyNumberFormat="1" applyFont="1" applyBorder="1"/>
    <xf numFmtId="177" fontId="0" fillId="0" borderId="0" xfId="1" applyNumberFormat="1" applyFont="1" applyBorder="1" applyAlignment="1">
      <alignment horizontal="center"/>
    </xf>
    <xf numFmtId="177" fontId="0" fillId="0" borderId="0" xfId="0" applyNumberFormat="1"/>
    <xf numFmtId="177" fontId="2" fillId="0" borderId="8" xfId="0" applyNumberFormat="1" applyFont="1" applyBorder="1"/>
    <xf numFmtId="177" fontId="1" fillId="0" borderId="8" xfId="1" applyNumberFormat="1" applyFont="1" applyBorder="1"/>
    <xf numFmtId="177" fontId="0" fillId="0" borderId="18" xfId="3" applyNumberFormat="1" applyFont="1" applyBorder="1"/>
    <xf numFmtId="177" fontId="0" fillId="0" borderId="10" xfId="0" applyNumberFormat="1" applyBorder="1"/>
    <xf numFmtId="177" fontId="2" fillId="0" borderId="0" xfId="0" applyNumberFormat="1" applyFont="1"/>
    <xf numFmtId="177" fontId="0" fillId="3" borderId="0" xfId="0" applyNumberFormat="1" applyFill="1"/>
    <xf numFmtId="177" fontId="0" fillId="0" borderId="0" xfId="3" applyNumberFormat="1" applyFont="1" applyFill="1" applyBorder="1"/>
    <xf numFmtId="177" fontId="0" fillId="0" borderId="8" xfId="0" applyNumberFormat="1" applyBorder="1"/>
    <xf numFmtId="168" fontId="1" fillId="0" borderId="0" xfId="1" applyNumberFormat="1" applyFont="1" applyBorder="1"/>
    <xf numFmtId="0" fontId="1" fillId="0" borderId="15" xfId="0" applyFont="1" applyBorder="1" applyAlignment="1">
      <alignment vertical="center" wrapText="1" readingOrder="1"/>
    </xf>
    <xf numFmtId="165" fontId="0" fillId="0" borderId="16" xfId="1" applyFont="1" applyBorder="1"/>
    <xf numFmtId="9" fontId="0" fillId="0" borderId="16" xfId="3" applyFont="1" applyBorder="1"/>
    <xf numFmtId="165" fontId="0" fillId="0" borderId="17" xfId="1" applyFont="1" applyBorder="1"/>
    <xf numFmtId="9" fontId="0" fillId="0" borderId="12" xfId="3" applyFont="1" applyBorder="1"/>
    <xf numFmtId="9" fontId="19" fillId="0" borderId="0" xfId="3" applyFont="1" applyBorder="1"/>
    <xf numFmtId="173" fontId="0" fillId="0" borderId="0" xfId="2" applyNumberFormat="1" applyFont="1" applyBorder="1"/>
    <xf numFmtId="0" fontId="0" fillId="0" borderId="7" xfId="0" applyBorder="1" applyAlignment="1">
      <alignment horizontal="center" vertical="center"/>
    </xf>
    <xf numFmtId="175" fontId="0" fillId="0" borderId="0" xfId="1" applyNumberFormat="1" applyFont="1" applyBorder="1"/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175" fontId="0" fillId="0" borderId="9" xfId="0" applyNumberFormat="1" applyBorder="1"/>
    <xf numFmtId="0" fontId="22" fillId="0" borderId="1" xfId="0" applyFont="1" applyBorder="1"/>
    <xf numFmtId="0" fontId="23" fillId="0" borderId="11" xfId="0" applyFont="1" applyBorder="1"/>
    <xf numFmtId="174" fontId="2" fillId="0" borderId="4" xfId="0" applyNumberFormat="1" applyFont="1" applyBorder="1"/>
    <xf numFmtId="173" fontId="2" fillId="0" borderId="10" xfId="0" applyNumberFormat="1" applyFont="1" applyBorder="1"/>
    <xf numFmtId="10" fontId="0" fillId="0" borderId="0" xfId="2" applyNumberFormat="1" applyFont="1" applyBorder="1" applyAlignment="1"/>
    <xf numFmtId="10" fontId="0" fillId="0" borderId="0" xfId="0" applyNumberFormat="1" applyAlignment="1">
      <alignment horizontal="center"/>
    </xf>
    <xf numFmtId="10" fontId="0" fillId="0" borderId="11" xfId="0" applyNumberFormat="1" applyBorder="1"/>
    <xf numFmtId="10" fontId="0" fillId="0" borderId="9" xfId="0" applyNumberFormat="1" applyBorder="1"/>
    <xf numFmtId="10" fontId="9" fillId="0" borderId="0" xfId="3" applyNumberFormat="1" applyFont="1" applyBorder="1" applyAlignment="1">
      <alignment vertical="center" wrapText="1" readingOrder="1"/>
    </xf>
    <xf numFmtId="10" fontId="2" fillId="0" borderId="0" xfId="3" applyNumberFormat="1" applyFont="1" applyBorder="1"/>
    <xf numFmtId="10" fontId="0" fillId="3" borderId="0" xfId="0" applyNumberFormat="1" applyFill="1"/>
    <xf numFmtId="10" fontId="2" fillId="0" borderId="0" xfId="0" applyNumberFormat="1" applyFont="1"/>
    <xf numFmtId="10" fontId="10" fillId="0" borderId="0" xfId="3" applyNumberFormat="1" applyFont="1" applyBorder="1" applyAlignment="1">
      <alignment horizontal="center"/>
    </xf>
    <xf numFmtId="173" fontId="0" fillId="0" borderId="0" xfId="3" applyNumberFormat="1" applyFont="1"/>
    <xf numFmtId="0" fontId="24" fillId="0" borderId="0" xfId="0" applyFont="1"/>
    <xf numFmtId="178" fontId="0" fillId="0" borderId="0" xfId="0" applyNumberFormat="1"/>
    <xf numFmtId="179" fontId="0" fillId="0" borderId="0" xfId="1" applyNumberFormat="1" applyFont="1" applyBorder="1"/>
    <xf numFmtId="9" fontId="0" fillId="0" borderId="0" xfId="3" applyFont="1" applyAlignment="1">
      <alignment horizontal="center"/>
    </xf>
    <xf numFmtId="164" fontId="0" fillId="0" borderId="0" xfId="2" applyFont="1" applyBorder="1" applyAlignment="1">
      <alignment horizontal="center"/>
    </xf>
    <xf numFmtId="0" fontId="25" fillId="0" borderId="11" xfId="0" applyFont="1" applyBorder="1"/>
    <xf numFmtId="173" fontId="2" fillId="0" borderId="11" xfId="0" applyNumberFormat="1" applyFont="1" applyBorder="1"/>
    <xf numFmtId="173" fontId="0" fillId="0" borderId="9" xfId="0" applyNumberFormat="1" applyBorder="1"/>
    <xf numFmtId="173" fontId="26" fillId="0" borderId="0" xfId="0" applyNumberFormat="1" applyFont="1"/>
    <xf numFmtId="10" fontId="2" fillId="0" borderId="0" xfId="3" applyNumberFormat="1" applyFont="1" applyAlignment="1">
      <alignment horizontal="right" vertical="center"/>
    </xf>
    <xf numFmtId="173" fontId="2" fillId="0" borderId="0" xfId="3" applyNumberFormat="1" applyFont="1" applyAlignment="1">
      <alignment horizontal="right" vertical="center"/>
    </xf>
    <xf numFmtId="0" fontId="9" fillId="0" borderId="9" xfId="0" applyFont="1" applyBorder="1" applyAlignment="1">
      <alignment vertical="center" wrapText="1" readingOrder="1"/>
    </xf>
    <xf numFmtId="1" fontId="0" fillId="0" borderId="0" xfId="3" applyNumberFormat="1" applyFont="1"/>
    <xf numFmtId="164" fontId="1" fillId="0" borderId="0" xfId="2" applyFont="1" applyBorder="1" applyAlignment="1">
      <alignment vertical="center" wrapText="1"/>
    </xf>
    <xf numFmtId="0" fontId="27" fillId="0" borderId="0" xfId="0" applyFont="1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0" fontId="27" fillId="0" borderId="0" xfId="0" applyFont="1"/>
    <xf numFmtId="0" fontId="29" fillId="17" borderId="0" xfId="0" applyFont="1" applyFill="1" applyAlignment="1">
      <alignment vertical="center"/>
    </xf>
    <xf numFmtId="3" fontId="29" fillId="17" borderId="0" xfId="0" applyNumberFormat="1" applyFont="1" applyFill="1" applyAlignment="1">
      <alignment vertical="center"/>
    </xf>
    <xf numFmtId="4" fontId="0" fillId="0" borderId="0" xfId="0" applyNumberFormat="1"/>
    <xf numFmtId="166" fontId="0" fillId="0" borderId="0" xfId="0" applyNumberFormat="1"/>
    <xf numFmtId="0" fontId="0" fillId="0" borderId="0" xfId="0" quotePrefix="1"/>
    <xf numFmtId="0" fontId="0" fillId="0" borderId="0" xfId="0" applyAlignment="1">
      <alignment horizontal="center" vertical="top" wrapText="1"/>
    </xf>
    <xf numFmtId="9" fontId="0" fillId="0" borderId="0" xfId="3" applyFont="1" applyFill="1" applyAlignment="1">
      <alignment horizontal="center"/>
    </xf>
    <xf numFmtId="180" fontId="0" fillId="0" borderId="0" xfId="0" applyNumberFormat="1"/>
    <xf numFmtId="180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2" fillId="0" borderId="11" xfId="3" applyNumberFormat="1" applyFont="1" applyBorder="1" applyAlignment="1">
      <alignment horizontal="center"/>
    </xf>
    <xf numFmtId="167" fontId="2" fillId="0" borderId="11" xfId="3" applyNumberFormat="1" applyFont="1" applyBorder="1" applyAlignment="1">
      <alignment horizontal="center"/>
    </xf>
    <xf numFmtId="2" fontId="2" fillId="0" borderId="12" xfId="3" applyNumberFormat="1" applyFont="1" applyBorder="1" applyAlignment="1">
      <alignment horizontal="center"/>
    </xf>
    <xf numFmtId="164" fontId="0" fillId="0" borderId="0" xfId="2" applyFont="1" applyBorder="1" applyAlignment="1">
      <alignment horizontal="center"/>
    </xf>
    <xf numFmtId="164" fontId="0" fillId="0" borderId="8" xfId="2" applyFont="1" applyBorder="1" applyAlignment="1">
      <alignment horizontal="center"/>
    </xf>
    <xf numFmtId="164" fontId="0" fillId="0" borderId="9" xfId="2" applyFont="1" applyBorder="1" applyAlignment="1">
      <alignment horizontal="center"/>
    </xf>
    <xf numFmtId="164" fontId="0" fillId="0" borderId="10" xfId="2" applyFont="1" applyBorder="1" applyAlignment="1">
      <alignment horizontal="center"/>
    </xf>
    <xf numFmtId="173" fontId="0" fillId="0" borderId="0" xfId="1" applyNumberFormat="1" applyFont="1" applyBorder="1" applyAlignment="1">
      <alignment horizontal="center"/>
    </xf>
    <xf numFmtId="1" fontId="0" fillId="0" borderId="0" xfId="2" applyNumberFormat="1" applyFont="1" applyBorder="1" applyAlignment="1">
      <alignment horizontal="center"/>
    </xf>
    <xf numFmtId="1" fontId="0" fillId="0" borderId="0" xfId="2" applyNumberFormat="1" applyFont="1" applyFill="1" applyBorder="1" applyAlignment="1">
      <alignment horizontal="center"/>
    </xf>
    <xf numFmtId="1" fontId="0" fillId="0" borderId="0" xfId="3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73" fontId="0" fillId="0" borderId="0" xfId="3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9" fontId="0" fillId="0" borderId="0" xfId="3" applyFont="1" applyBorder="1" applyAlignment="1">
      <alignment horizontal="center"/>
    </xf>
    <xf numFmtId="0" fontId="9" fillId="0" borderId="9" xfId="0" applyFont="1" applyBorder="1" applyAlignment="1">
      <alignment horizontal="left" vertical="center" wrapText="1" readingOrder="1"/>
    </xf>
    <xf numFmtId="0" fontId="9" fillId="0" borderId="11" xfId="0" applyFont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left" vertical="center" wrapText="1"/>
    </xf>
    <xf numFmtId="10" fontId="2" fillId="0" borderId="0" xfId="3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0" fontId="4" fillId="0" borderId="3" xfId="3" applyNumberFormat="1" applyFont="1" applyFill="1" applyBorder="1" applyAlignment="1">
      <alignment horizontal="left" vertical="center" wrapText="1" readingOrder="1"/>
    </xf>
    <xf numFmtId="10" fontId="4" fillId="0" borderId="6" xfId="3" applyNumberFormat="1" applyFont="1" applyFill="1" applyBorder="1" applyAlignment="1">
      <alignment horizontal="left" vertical="center" wrapText="1" readingOrder="1"/>
    </xf>
    <xf numFmtId="0" fontId="4" fillId="0" borderId="11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2" fillId="6" borderId="7" xfId="0" applyFont="1" applyFill="1" applyBorder="1" applyAlignment="1">
      <alignment horizontal="center" vertical="center" wrapText="1" readingOrder="1"/>
    </xf>
    <xf numFmtId="0" fontId="2" fillId="6" borderId="0" xfId="0" applyFont="1" applyFill="1" applyAlignment="1">
      <alignment horizontal="center" vertical="center" wrapText="1" readingOrder="1"/>
    </xf>
    <xf numFmtId="0" fontId="2" fillId="0" borderId="1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2" fillId="0" borderId="19" xfId="0" applyFont="1" applyBorder="1"/>
    <xf numFmtId="180" fontId="0" fillId="0" borderId="19" xfId="0" applyNumberFormat="1" applyBorder="1"/>
    <xf numFmtId="0" fontId="2" fillId="0" borderId="20" xfId="0" applyFont="1" applyBorder="1"/>
    <xf numFmtId="180" fontId="0" fillId="0" borderId="20" xfId="0" applyNumberFormat="1" applyBorder="1"/>
    <xf numFmtId="0" fontId="0" fillId="0" borderId="20" xfId="0" applyBorder="1"/>
    <xf numFmtId="0" fontId="0" fillId="0" borderId="20" xfId="0" applyBorder="1" applyAlignment="1">
      <alignment wrapText="1"/>
    </xf>
    <xf numFmtId="0" fontId="0" fillId="0" borderId="0" xfId="0" applyBorder="1"/>
    <xf numFmtId="0" fontId="30" fillId="0" borderId="0" xfId="0" applyFont="1" applyBorder="1" applyAlignment="1">
      <alignment vertical="center" wrapText="1"/>
    </xf>
    <xf numFmtId="3" fontId="30" fillId="0" borderId="0" xfId="0" applyNumberFormat="1" applyFont="1" applyBorder="1" applyAlignment="1">
      <alignment vertical="center" wrapText="1"/>
    </xf>
    <xf numFmtId="0" fontId="0" fillId="0" borderId="21" xfId="0" applyBorder="1"/>
    <xf numFmtId="0" fontId="2" fillId="0" borderId="0" xfId="0" applyFont="1" applyBorder="1"/>
    <xf numFmtId="180" fontId="0" fillId="0" borderId="0" xfId="0" applyNumberFormat="1" applyBorder="1"/>
    <xf numFmtId="173" fontId="29" fillId="0" borderId="0" xfId="0" applyNumberFormat="1" applyFont="1" applyBorder="1" applyAlignment="1">
      <alignment vertical="center" wrapText="1"/>
    </xf>
    <xf numFmtId="173" fontId="0" fillId="0" borderId="0" xfId="0" applyNumberFormat="1" applyBorder="1"/>
    <xf numFmtId="180" fontId="0" fillId="0" borderId="0" xfId="0" applyNumberFormat="1" applyBorder="1" applyAlignment="1">
      <alignment horizontal="right"/>
    </xf>
    <xf numFmtId="180" fontId="2" fillId="0" borderId="21" xfId="0" applyNumberFormat="1" applyFont="1" applyBorder="1"/>
    <xf numFmtId="180" fontId="2" fillId="0" borderId="21" xfId="0" applyNumberFormat="1" applyFont="1" applyBorder="1" applyAlignment="1">
      <alignment horizontal="right"/>
    </xf>
    <xf numFmtId="10" fontId="2" fillId="0" borderId="21" xfId="3" applyNumberFormat="1" applyFont="1" applyBorder="1"/>
    <xf numFmtId="0" fontId="31" fillId="0" borderId="0" xfId="0" applyFont="1" applyBorder="1"/>
    <xf numFmtId="0" fontId="24" fillId="0" borderId="0" xfId="0" applyFont="1" applyAlignment="1">
      <alignment horizontal="left"/>
    </xf>
    <xf numFmtId="4" fontId="29" fillId="17" borderId="0" xfId="0" applyNumberFormat="1" applyFont="1" applyFill="1" applyAlignment="1">
      <alignment horizontal="left" vertical="center"/>
    </xf>
    <xf numFmtId="0" fontId="0" fillId="0" borderId="0" xfId="0" applyFont="1" applyAlignment="1">
      <alignment horizontal="left"/>
    </xf>
    <xf numFmtId="0" fontId="0" fillId="10" borderId="0" xfId="0" applyFont="1" applyFill="1" applyAlignment="1">
      <alignment horizontal="left"/>
    </xf>
    <xf numFmtId="0" fontId="0" fillId="5" borderId="0" xfId="0" applyFont="1" applyFill="1" applyAlignment="1">
      <alignment horizontal="left"/>
    </xf>
    <xf numFmtId="9" fontId="1" fillId="0" borderId="0" xfId="3" applyFont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173" fontId="0" fillId="0" borderId="20" xfId="0" applyNumberFormat="1" applyBorder="1"/>
    <xf numFmtId="173" fontId="2" fillId="0" borderId="0" xfId="0" applyNumberFormat="1" applyFont="1" applyBorder="1"/>
    <xf numFmtId="173" fontId="0" fillId="0" borderId="0" xfId="3" applyNumberFormat="1" applyFont="1" applyBorder="1" applyAlignment="1">
      <alignment horizontal="right"/>
    </xf>
    <xf numFmtId="173" fontId="0" fillId="0" borderId="21" xfId="0" applyNumberForma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FEB8"/>
      <color rgb="FF99CCFF"/>
      <color rgb="FFFCAAEA"/>
      <color rgb="FFFFFF99"/>
      <color rgb="FF00FF99"/>
      <color rgb="FFFF66FF"/>
      <color rgb="FFFF00FF"/>
      <color rgb="FFD1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7DE07-EAD1-43EF-9740-69505473B9B2}">
  <dimension ref="A1:BM195"/>
  <sheetViews>
    <sheetView tabSelected="1" zoomScale="85" zoomScaleNormal="85" workbookViewId="0">
      <selection activeCell="D2" sqref="D2"/>
    </sheetView>
  </sheetViews>
  <sheetFormatPr defaultRowHeight="14.5" x14ac:dyDescent="0.35"/>
  <cols>
    <col min="1" max="1" width="21.26953125" customWidth="1"/>
    <col min="2" max="2" width="20.26953125" style="358" customWidth="1"/>
    <col min="3" max="3" width="15.81640625" customWidth="1"/>
    <col min="7" max="7" width="14.90625" customWidth="1"/>
    <col min="10" max="10" width="15.90625" customWidth="1"/>
    <col min="11" max="11" width="31.81640625" customWidth="1"/>
    <col min="12" max="17" width="16.90625" customWidth="1"/>
    <col min="18" max="18" width="15.453125" customWidth="1"/>
    <col min="19" max="19" width="19.26953125" style="420" customWidth="1"/>
    <col min="20" max="20" width="14.08984375" customWidth="1"/>
    <col min="21" max="21" width="9.08984375" customWidth="1"/>
    <col min="22" max="22" width="9.81640625" bestFit="1" customWidth="1"/>
    <col min="24" max="24" width="8.6328125" bestFit="1" customWidth="1"/>
  </cols>
  <sheetData>
    <row r="1" spans="1:24" x14ac:dyDescent="0.35">
      <c r="A1" s="31" t="s">
        <v>510</v>
      </c>
      <c r="B1" s="359" t="s">
        <v>263</v>
      </c>
      <c r="J1" t="s">
        <v>152</v>
      </c>
      <c r="K1">
        <v>1</v>
      </c>
      <c r="L1">
        <f>K1+1</f>
        <v>2</v>
      </c>
      <c r="M1">
        <f>L1+1</f>
        <v>3</v>
      </c>
      <c r="N1">
        <f>M1+1</f>
        <v>4</v>
      </c>
      <c r="O1">
        <f>N1+1</f>
        <v>5</v>
      </c>
      <c r="P1">
        <f>O1+1</f>
        <v>6</v>
      </c>
      <c r="Q1">
        <f>P1+1</f>
        <v>7</v>
      </c>
      <c r="T1" t="s">
        <v>560</v>
      </c>
      <c r="U1" t="s">
        <v>562</v>
      </c>
      <c r="V1" t="s">
        <v>565</v>
      </c>
      <c r="X1" t="s">
        <v>566</v>
      </c>
    </row>
    <row r="2" spans="1:24" ht="29.5" customHeight="1" x14ac:dyDescent="0.35">
      <c r="A2" s="399" t="s">
        <v>511</v>
      </c>
      <c r="B2" s="400">
        <f>3.5*'CA&amp;OP-EX'!D20</f>
        <v>3411275</v>
      </c>
      <c r="J2" s="356" t="s">
        <v>499</v>
      </c>
      <c r="K2" s="252">
        <f>L36</f>
        <v>624092.56250000023</v>
      </c>
      <c r="L2" s="252">
        <f>M36</f>
        <v>6478034.1306570321</v>
      </c>
      <c r="M2" s="252">
        <f>N36</f>
        <v>16843656.91879753</v>
      </c>
      <c r="N2" s="252">
        <f>O36</f>
        <v>23078942.255239516</v>
      </c>
      <c r="O2" s="252">
        <f>P36</f>
        <v>34153274.911813073</v>
      </c>
      <c r="P2" s="252">
        <f>Q36</f>
        <v>41643940.799785785</v>
      </c>
      <c r="Q2" s="252">
        <f>R36</f>
        <v>73918059.113221213</v>
      </c>
      <c r="T2" t="s">
        <v>561</v>
      </c>
      <c r="U2" t="s">
        <v>563</v>
      </c>
      <c r="V2" t="s">
        <v>564</v>
      </c>
      <c r="X2" t="s">
        <v>164</v>
      </c>
    </row>
    <row r="3" spans="1:24" x14ac:dyDescent="0.35">
      <c r="A3" s="401" t="s">
        <v>512</v>
      </c>
      <c r="B3" s="402">
        <f>T9</f>
        <v>250167852.06090501</v>
      </c>
      <c r="J3" s="252" t="s">
        <v>491</v>
      </c>
      <c r="K3">
        <f>1 / (1 + $T$8) ^ K1</f>
        <v>0.83333333333333337</v>
      </c>
      <c r="L3">
        <v>0.3</v>
      </c>
      <c r="M3">
        <f>1 / (1 + $T$8) ^ M1</f>
        <v>0.57870370370370372</v>
      </c>
      <c r="N3">
        <f>1 / (1 + $T$8) ^ N1</f>
        <v>0.48225308641975312</v>
      </c>
      <c r="O3">
        <f>1 / (1 + $T$8) ^ O1</f>
        <v>0.4018775720164609</v>
      </c>
      <c r="P3">
        <f>1 / (1 + $T$8) ^ P1</f>
        <v>0.33489797668038412</v>
      </c>
      <c r="Q3">
        <f>1 / (1 + $T$8) ^ Q1</f>
        <v>0.27908164723365342</v>
      </c>
      <c r="T3" s="2">
        <v>4.4999999999999998E-2</v>
      </c>
      <c r="U3">
        <v>1.5</v>
      </c>
      <c r="V3" s="2">
        <v>7.0000000000000007E-2</v>
      </c>
      <c r="W3" s="253">
        <f>(V3+0.01)*U3</f>
        <v>0.12</v>
      </c>
      <c r="X3" s="191">
        <f>T4</f>
        <v>0.16499999999999998</v>
      </c>
    </row>
    <row r="4" spans="1:24" x14ac:dyDescent="0.35">
      <c r="A4" s="401" t="s">
        <v>266</v>
      </c>
      <c r="B4" s="402">
        <f>' TAM &amp; SOM'!D19*1000000000</f>
        <v>168025000</v>
      </c>
      <c r="C4" s="403" t="s">
        <v>513</v>
      </c>
      <c r="D4" s="403"/>
      <c r="E4" s="403"/>
      <c r="F4" s="403"/>
      <c r="J4" t="s">
        <v>504</v>
      </c>
      <c r="K4" s="252">
        <f>K3*K2</f>
        <v>520077.13541666686</v>
      </c>
      <c r="L4" s="252">
        <f>L3*L2</f>
        <v>1943410.2391971096</v>
      </c>
      <c r="M4" s="252">
        <f>M3*M2</f>
        <v>9747486.6428226456</v>
      </c>
      <c r="N4" s="252">
        <f>N3*N2</f>
        <v>11129891.133892514</v>
      </c>
      <c r="O4" s="252">
        <f>O3*O2</f>
        <v>13725435.197970146</v>
      </c>
      <c r="P4" s="252">
        <f>P3*P2</f>
        <v>13946471.514845956</v>
      </c>
      <c r="Q4" s="252">
        <f>Q3*Q2</f>
        <v>20629173.697632343</v>
      </c>
      <c r="S4" s="420" t="s">
        <v>500</v>
      </c>
      <c r="T4" s="191">
        <f>T3+W3</f>
        <v>0.16499999999999998</v>
      </c>
      <c r="U4" s="355" t="s">
        <v>501</v>
      </c>
    </row>
    <row r="5" spans="1:24" ht="29" x14ac:dyDescent="0.35">
      <c r="A5" s="401" t="s">
        <v>514</v>
      </c>
      <c r="B5" s="402" t="s">
        <v>534</v>
      </c>
      <c r="C5" s="404" t="s">
        <v>535</v>
      </c>
      <c r="D5" s="404" t="s">
        <v>543</v>
      </c>
      <c r="E5" s="404" t="s">
        <v>544</v>
      </c>
      <c r="F5" s="403" t="s">
        <v>536</v>
      </c>
      <c r="G5" s="403" t="s">
        <v>537</v>
      </c>
      <c r="J5" t="s">
        <v>505</v>
      </c>
      <c r="K5" s="1"/>
      <c r="L5" s="1">
        <f>(M26-L26)/L26</f>
        <v>4.1915802905083757</v>
      </c>
      <c r="M5" s="1">
        <f>(N26-M26)/M26</f>
        <v>1.399285464185049</v>
      </c>
      <c r="N5" s="1">
        <f>(O26-N26)/N26</f>
        <v>0.37812549249208283</v>
      </c>
      <c r="O5" s="1">
        <f>(P26-O26)/O26</f>
        <v>0.4250020942798296</v>
      </c>
      <c r="P5" s="1">
        <f>(Q26-P26)/P26</f>
        <v>0.27130324840867587</v>
      </c>
      <c r="Q5" s="1">
        <f>(R26-Q26)/Q26</f>
        <v>0.68030313998098602</v>
      </c>
      <c r="S5" s="420" t="s">
        <v>507</v>
      </c>
      <c r="T5" s="298">
        <f xml:space="preserve"> Q2 * (1 + T7) / (T4 - T7)</f>
        <v>519975312.38265967</v>
      </c>
    </row>
    <row r="6" spans="1:24" ht="21" customHeight="1" x14ac:dyDescent="0.35">
      <c r="A6" s="405"/>
      <c r="B6" s="406" t="s">
        <v>515</v>
      </c>
      <c r="C6" s="406">
        <v>976</v>
      </c>
      <c r="D6" s="406">
        <v>120</v>
      </c>
      <c r="E6" s="407">
        <v>5000</v>
      </c>
      <c r="F6" s="406" t="s">
        <v>516</v>
      </c>
      <c r="G6" s="406" t="s">
        <v>517</v>
      </c>
      <c r="J6" t="s">
        <v>506</v>
      </c>
      <c r="L6" s="1">
        <f>(L4-K4)/K4</f>
        <v>2.7367730800934371</v>
      </c>
      <c r="M6" s="1">
        <f>(M4-L4)/L4</f>
        <v>4.0156608451593172</v>
      </c>
      <c r="N6" s="1">
        <f>(N4-M4)/M4</f>
        <v>0.14182163481986121</v>
      </c>
      <c r="O6" s="1">
        <f>(O4-N4)/N4</f>
        <v>0.23320480253160208</v>
      </c>
      <c r="P6" s="1">
        <f>(P4-O4)/O4</f>
        <v>1.6104139044603762E-2</v>
      </c>
      <c r="Q6" s="1">
        <f>(Q4-P4)/P4</f>
        <v>0.47916795123932815</v>
      </c>
      <c r="S6" s="420" t="s">
        <v>508</v>
      </c>
      <c r="T6" s="298">
        <f xml:space="preserve"> T5/ (1 + T4) ^ Q1</f>
        <v>178525906.49912763</v>
      </c>
    </row>
    <row r="7" spans="1:24" ht="29" x14ac:dyDescent="0.35">
      <c r="A7" s="405"/>
      <c r="B7" s="406" t="s">
        <v>518</v>
      </c>
      <c r="C7" s="406">
        <v>450</v>
      </c>
      <c r="D7" s="406">
        <v>60</v>
      </c>
      <c r="E7" s="407">
        <v>2000</v>
      </c>
      <c r="F7" s="406" t="s">
        <v>519</v>
      </c>
      <c r="G7" s="406" t="s">
        <v>520</v>
      </c>
      <c r="J7" s="401" t="s">
        <v>567</v>
      </c>
      <c r="K7" s="403"/>
      <c r="L7" s="426"/>
      <c r="M7" s="426"/>
      <c r="S7" s="424" t="s">
        <v>559</v>
      </c>
      <c r="T7" s="2">
        <v>0.02</v>
      </c>
    </row>
    <row r="8" spans="1:24" x14ac:dyDescent="0.35">
      <c r="A8" s="405"/>
      <c r="B8" s="406" t="s">
        <v>521</v>
      </c>
      <c r="C8" s="407">
        <v>1900</v>
      </c>
      <c r="D8" s="406">
        <v>300</v>
      </c>
      <c r="E8" s="407">
        <v>30000</v>
      </c>
      <c r="F8" s="406" t="s">
        <v>522</v>
      </c>
      <c r="G8" s="406" t="s">
        <v>523</v>
      </c>
      <c r="J8" s="409" t="s">
        <v>149</v>
      </c>
      <c r="K8" s="405"/>
      <c r="L8" s="412"/>
      <c r="M8" s="412"/>
      <c r="S8" s="425" t="s">
        <v>493</v>
      </c>
      <c r="T8" s="354">
        <v>0.2</v>
      </c>
    </row>
    <row r="9" spans="1:24" x14ac:dyDescent="0.35">
      <c r="A9" s="405"/>
      <c r="B9" s="406" t="s">
        <v>524</v>
      </c>
      <c r="C9" s="407">
        <v>30000</v>
      </c>
      <c r="D9" s="407">
        <v>3000</v>
      </c>
      <c r="E9" s="407">
        <v>60000</v>
      </c>
      <c r="F9" s="406" t="s">
        <v>525</v>
      </c>
      <c r="G9" s="406" t="s">
        <v>526</v>
      </c>
      <c r="J9" s="409" t="s">
        <v>359</v>
      </c>
      <c r="K9" s="409" t="s">
        <v>392</v>
      </c>
      <c r="L9" s="427" t="s">
        <v>393</v>
      </c>
      <c r="M9" s="427" t="s">
        <v>394</v>
      </c>
      <c r="N9" s="31"/>
      <c r="O9" s="31"/>
      <c r="P9" s="31"/>
      <c r="Q9" s="31"/>
      <c r="R9" s="31"/>
      <c r="S9" s="420" t="s">
        <v>509</v>
      </c>
      <c r="T9" s="298">
        <f>SUM(K4:Q4)+T6</f>
        <v>250167852.06090501</v>
      </c>
    </row>
    <row r="10" spans="1:24" x14ac:dyDescent="0.35">
      <c r="A10" s="405"/>
      <c r="B10" s="406" t="s">
        <v>527</v>
      </c>
      <c r="C10" s="406">
        <v>250</v>
      </c>
      <c r="D10" s="406">
        <v>-50</v>
      </c>
      <c r="E10" s="407">
        <v>4000</v>
      </c>
      <c r="F10" s="406" t="s">
        <v>528</v>
      </c>
      <c r="G10" s="406" t="s">
        <v>529</v>
      </c>
      <c r="J10" s="405" t="s">
        <v>431</v>
      </c>
      <c r="K10" s="405" t="s">
        <v>396</v>
      </c>
      <c r="L10" s="412">
        <f>'CA&amp;OP-EX'!D5</f>
        <v>484080</v>
      </c>
      <c r="M10" s="412"/>
      <c r="S10" s="418" t="s">
        <v>280</v>
      </c>
      <c r="T10" s="334">
        <v>0.65</v>
      </c>
      <c r="U10" s="334" t="s">
        <v>347</v>
      </c>
      <c r="V10" s="31"/>
    </row>
    <row r="11" spans="1:24" x14ac:dyDescent="0.35">
      <c r="A11" s="405"/>
      <c r="B11" s="406" t="s">
        <v>530</v>
      </c>
      <c r="C11" s="406">
        <v>300</v>
      </c>
      <c r="D11" s="406">
        <v>-20</v>
      </c>
      <c r="E11" s="407">
        <v>3000</v>
      </c>
      <c r="F11" s="406" t="s">
        <v>531</v>
      </c>
      <c r="G11" s="406" t="s">
        <v>529</v>
      </c>
      <c r="J11" s="405" t="s">
        <v>293</v>
      </c>
      <c r="K11" s="405" t="s">
        <v>395</v>
      </c>
      <c r="L11" s="412">
        <f>'Mrkting &amp; BD'!D4</f>
        <v>266400</v>
      </c>
      <c r="M11" s="412"/>
    </row>
    <row r="12" spans="1:24" x14ac:dyDescent="0.35">
      <c r="A12" s="405"/>
      <c r="B12" s="406" t="s">
        <v>532</v>
      </c>
      <c r="C12" s="406">
        <v>150</v>
      </c>
      <c r="D12" s="406">
        <v>-30</v>
      </c>
      <c r="E12" s="407">
        <v>1000</v>
      </c>
      <c r="F12" s="406" t="s">
        <v>533</v>
      </c>
      <c r="G12" s="406" t="s">
        <v>529</v>
      </c>
      <c r="J12" s="405" t="s">
        <v>397</v>
      </c>
      <c r="K12" s="405" t="s">
        <v>400</v>
      </c>
      <c r="L12" s="412">
        <f>'CA&amp;OP-EX'!D6</f>
        <v>43200</v>
      </c>
      <c r="M12" s="412"/>
    </row>
    <row r="13" spans="1:24" x14ac:dyDescent="0.35">
      <c r="A13" s="409" t="s">
        <v>538</v>
      </c>
      <c r="B13" s="410">
        <f xml:space="preserve"> Financials!R26*5</f>
        <v>412062904.18155259</v>
      </c>
      <c r="C13" s="405" t="s">
        <v>539</v>
      </c>
      <c r="D13" s="405"/>
      <c r="E13" s="405"/>
      <c r="F13" s="405"/>
      <c r="G13" s="405"/>
      <c r="J13" s="405" t="s">
        <v>397</v>
      </c>
      <c r="K13" s="405" t="s">
        <v>399</v>
      </c>
      <c r="L13" s="412">
        <f>'CA&amp;OP-EX'!D7</f>
        <v>4050.0000000000005</v>
      </c>
      <c r="M13" s="412"/>
    </row>
    <row r="14" spans="1:24" x14ac:dyDescent="0.35">
      <c r="A14" s="401" t="s">
        <v>541</v>
      </c>
      <c r="B14" s="402"/>
      <c r="C14" s="403"/>
      <c r="D14" s="403"/>
      <c r="E14" s="403"/>
      <c r="F14" s="403"/>
      <c r="G14" s="403"/>
      <c r="H14" s="403"/>
      <c r="J14" s="405" t="s">
        <v>402</v>
      </c>
      <c r="K14" s="405" t="s">
        <v>401</v>
      </c>
      <c r="L14" s="412">
        <f>'CA&amp;OP-EX'!J2</f>
        <v>20000</v>
      </c>
      <c r="M14" s="412"/>
    </row>
    <row r="15" spans="1:24" x14ac:dyDescent="0.35">
      <c r="A15" s="405"/>
      <c r="B15" s="410" t="s">
        <v>542</v>
      </c>
      <c r="C15" s="411">
        <v>250000000</v>
      </c>
      <c r="D15" s="405" t="s">
        <v>545</v>
      </c>
      <c r="E15" s="405" t="s">
        <v>546</v>
      </c>
      <c r="F15" s="405"/>
      <c r="G15" s="405"/>
      <c r="H15" s="405"/>
      <c r="J15" s="405" t="s">
        <v>402</v>
      </c>
      <c r="K15" s="405" t="str">
        <f>'CA&amp;OP-EX'!I3</f>
        <v>App Services</v>
      </c>
      <c r="L15" s="412">
        <f>'CA&amp;OP-EX'!J3</f>
        <v>36000</v>
      </c>
      <c r="M15" s="412"/>
    </row>
    <row r="16" spans="1:24" x14ac:dyDescent="0.35">
      <c r="A16" s="405"/>
      <c r="B16" s="410" t="s">
        <v>547</v>
      </c>
      <c r="C16" s="30">
        <v>0.35</v>
      </c>
      <c r="D16" s="405"/>
      <c r="E16" s="405"/>
      <c r="F16" s="405"/>
      <c r="G16" s="405"/>
      <c r="H16" s="405"/>
      <c r="J16" s="405" t="s">
        <v>402</v>
      </c>
      <c r="K16" s="405" t="str">
        <f>'CA&amp;OP-EX'!I4</f>
        <v>ERP &amp; CRM</v>
      </c>
      <c r="L16" s="412">
        <f>'CA&amp;OP-EX'!J4</f>
        <v>4800</v>
      </c>
      <c r="M16" s="412"/>
    </row>
    <row r="17" spans="1:65" x14ac:dyDescent="0.35">
      <c r="A17" s="405"/>
      <c r="B17" s="410" t="s">
        <v>548</v>
      </c>
      <c r="C17" s="412">
        <f>C21</f>
        <v>974650</v>
      </c>
      <c r="D17" s="405"/>
      <c r="E17" s="405"/>
      <c r="F17" s="405"/>
      <c r="G17" s="405"/>
      <c r="H17" s="405"/>
      <c r="J17" s="405" t="s">
        <v>293</v>
      </c>
      <c r="K17" s="405" t="s">
        <v>403</v>
      </c>
      <c r="L17" s="412"/>
      <c r="M17" s="412">
        <f>'Mrkting &amp; BD'!G20</f>
        <v>42000</v>
      </c>
    </row>
    <row r="18" spans="1:65" x14ac:dyDescent="0.35">
      <c r="A18" s="405"/>
      <c r="B18" s="410" t="s">
        <v>549</v>
      </c>
      <c r="C18" s="412">
        <f xml:space="preserve"> (C15 / (1 + C16)^7) - C17</f>
        <v>29617051.235119361</v>
      </c>
      <c r="D18" s="405"/>
      <c r="E18" s="405"/>
      <c r="F18" s="405"/>
      <c r="G18" s="405"/>
      <c r="H18" s="405"/>
      <c r="J18" s="405" t="s">
        <v>293</v>
      </c>
      <c r="K18" s="405" t="s">
        <v>404</v>
      </c>
      <c r="L18" s="412"/>
      <c r="M18" s="412">
        <f>'Mrkting &amp; BD'!G17+'Mrkting &amp; BD'!G18</f>
        <v>117923.99999999997</v>
      </c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</row>
    <row r="19" spans="1:65" x14ac:dyDescent="0.35">
      <c r="A19" s="405"/>
      <c r="B19" s="410"/>
      <c r="C19" s="405"/>
      <c r="D19" s="405"/>
      <c r="E19" s="405"/>
      <c r="F19" s="405"/>
      <c r="G19" s="405"/>
      <c r="H19" s="405"/>
      <c r="J19" s="405" t="s">
        <v>406</v>
      </c>
      <c r="K19" s="405" t="s">
        <v>336</v>
      </c>
      <c r="L19" s="412"/>
      <c r="M19" s="412">
        <f>'Mrkting &amp; BD'!G22</f>
        <v>1417218.5625000002</v>
      </c>
    </row>
    <row r="20" spans="1:65" x14ac:dyDescent="0.35">
      <c r="A20" s="405" t="s">
        <v>550</v>
      </c>
      <c r="B20" s="410" t="s">
        <v>551</v>
      </c>
      <c r="C20" s="412">
        <f>C18/100</f>
        <v>296170.51235119364</v>
      </c>
      <c r="D20" s="405"/>
      <c r="E20" s="405"/>
      <c r="F20" s="405"/>
      <c r="G20" s="412"/>
      <c r="H20" s="405"/>
      <c r="J20" s="405" t="s">
        <v>233</v>
      </c>
      <c r="K20" s="405"/>
      <c r="L20" s="412">
        <f>SUM(L10:L19)</f>
        <v>858530</v>
      </c>
      <c r="M20" s="412">
        <f>SUM(M11:M19)</f>
        <v>1577142.5625000002</v>
      </c>
    </row>
    <row r="21" spans="1:65" x14ac:dyDescent="0.35">
      <c r="A21" s="405"/>
      <c r="B21" s="410" t="s">
        <v>552</v>
      </c>
      <c r="C21" s="412">
        <f>'CA&amp;OP-EX'!D20</f>
        <v>974650</v>
      </c>
      <c r="D21" s="405"/>
      <c r="E21" s="405"/>
      <c r="F21" s="405"/>
      <c r="G21" s="412"/>
      <c r="H21" s="405"/>
      <c r="J21" s="405" t="s">
        <v>430</v>
      </c>
      <c r="K21" s="405"/>
      <c r="L21" s="30">
        <f>L20/M20</f>
        <v>0.54435789155236869</v>
      </c>
      <c r="M21" s="412"/>
    </row>
    <row r="22" spans="1:65" x14ac:dyDescent="0.35">
      <c r="A22" s="405"/>
      <c r="B22" s="410" t="s">
        <v>553</v>
      </c>
      <c r="C22" s="11"/>
      <c r="D22" s="405"/>
      <c r="E22" s="405"/>
      <c r="F22" s="405"/>
      <c r="G22" s="11"/>
      <c r="H22" s="405"/>
      <c r="J22" s="405"/>
      <c r="K22" s="405"/>
      <c r="L22" s="30"/>
      <c r="M22" s="412"/>
    </row>
    <row r="23" spans="1:65" x14ac:dyDescent="0.35">
      <c r="A23" s="405" t="s">
        <v>558</v>
      </c>
      <c r="B23" s="410"/>
      <c r="C23" s="413"/>
      <c r="E23" s="405"/>
      <c r="F23" s="405"/>
      <c r="G23" s="405"/>
      <c r="H23" s="417"/>
      <c r="J23" s="409" t="s">
        <v>407</v>
      </c>
      <c r="K23" s="409"/>
      <c r="L23" s="427"/>
      <c r="M23" s="427">
        <f>M20-L20</f>
        <v>718612.56250000023</v>
      </c>
      <c r="O23" s="31"/>
      <c r="P23" s="31"/>
      <c r="Q23" s="31"/>
      <c r="R23" s="31"/>
      <c r="T23" s="31"/>
      <c r="U23" s="31"/>
      <c r="V23" s="31"/>
    </row>
    <row r="24" spans="1:65" x14ac:dyDescent="0.35">
      <c r="A24" s="414" t="s">
        <v>557</v>
      </c>
      <c r="B24" s="415"/>
      <c r="C24" s="416">
        <f>3*(C21/C20/100)</f>
        <v>9.8725223412276547E-2</v>
      </c>
      <c r="D24" s="408"/>
      <c r="E24" s="408"/>
      <c r="F24" s="408"/>
      <c r="G24" s="408"/>
      <c r="H24" s="408"/>
      <c r="J24" s="403" t="s">
        <v>424</v>
      </c>
      <c r="K24" s="403"/>
      <c r="L24" s="426"/>
      <c r="M24" s="426"/>
      <c r="N24" s="403"/>
      <c r="O24" s="403"/>
      <c r="P24" s="403"/>
      <c r="Q24" s="403"/>
      <c r="R24" s="403"/>
    </row>
    <row r="25" spans="1:65" x14ac:dyDescent="0.35">
      <c r="J25" s="409" t="s">
        <v>540</v>
      </c>
      <c r="K25" s="405"/>
      <c r="L25" s="409" t="s">
        <v>149</v>
      </c>
      <c r="M25" s="409" t="s">
        <v>80</v>
      </c>
      <c r="N25" s="409" t="s">
        <v>81</v>
      </c>
      <c r="O25" s="409" t="s">
        <v>84</v>
      </c>
      <c r="P25" s="409" t="s">
        <v>85</v>
      </c>
      <c r="Q25" s="409" t="s">
        <v>86</v>
      </c>
      <c r="R25" s="409" t="s">
        <v>165</v>
      </c>
    </row>
    <row r="26" spans="1:65" x14ac:dyDescent="0.35">
      <c r="J26" s="405" t="s">
        <v>465</v>
      </c>
      <c r="K26" s="405"/>
      <c r="L26" s="428">
        <f>M.Shars!I53</f>
        <v>1577142.5625000002</v>
      </c>
      <c r="M26" s="256">
        <f>M.Shars!Q62</f>
        <v>8187862.2427968755</v>
      </c>
      <c r="N26" s="256">
        <f>M.Shars!I75</f>
        <v>19645018.861892138</v>
      </c>
      <c r="O26" s="256">
        <f>M.Shars!Q75</f>
        <v>27073301.294061359</v>
      </c>
      <c r="P26" s="256">
        <f>M.Shars!I88</f>
        <v>38579511.043106258</v>
      </c>
      <c r="Q26" s="256">
        <f>M.Shars!Q88</f>
        <v>49046257.711119369</v>
      </c>
      <c r="R26" s="256">
        <f>M.Shars!I102</f>
        <v>82412580.836310521</v>
      </c>
    </row>
    <row r="27" spans="1:65" x14ac:dyDescent="0.35">
      <c r="J27" s="405" t="s">
        <v>366</v>
      </c>
      <c r="K27" s="405"/>
      <c r="L27" s="428">
        <f>-'CA&amp;OP-EX'!D5</f>
        <v>-484080</v>
      </c>
      <c r="M27" s="256">
        <f>-Manpower!L10</f>
        <v>-967520</v>
      </c>
      <c r="N27" s="256">
        <f>M27*1.3</f>
        <v>-1257776</v>
      </c>
      <c r="O27" s="256">
        <f>N27*2</f>
        <v>-2515552</v>
      </c>
      <c r="P27" s="256">
        <f>O27</f>
        <v>-2515552</v>
      </c>
      <c r="Q27" s="256">
        <f>P27*2</f>
        <v>-5031104</v>
      </c>
      <c r="R27" s="256">
        <f>Q27</f>
        <v>-5031104</v>
      </c>
    </row>
    <row r="28" spans="1:65" x14ac:dyDescent="0.35">
      <c r="J28" s="405" t="s">
        <v>466</v>
      </c>
      <c r="K28" s="405"/>
      <c r="L28" s="412">
        <f>-'CA&amp;OP-EX'!D3</f>
        <v>-266400</v>
      </c>
      <c r="M28" s="412">
        <f>-'Mrkting &amp; BD'!D46</f>
        <v>-409393.11213984381</v>
      </c>
      <c r="N28" s="412">
        <f>-'Mrkting &amp; BD'!E46</f>
        <v>-982250.94309460698</v>
      </c>
      <c r="O28" s="412">
        <f>-'Mrkting &amp; BD'!F46</f>
        <v>-812199.03882184078</v>
      </c>
      <c r="P28" s="412">
        <f>-'Mrkting &amp; BD'!G46</f>
        <v>-1157385.3312931878</v>
      </c>
      <c r="Q28" s="412">
        <f>-'Mrkting &amp; BD'!H46</f>
        <v>-1471387.731333581</v>
      </c>
      <c r="R28" s="412">
        <f>-'Mrkting &amp; BD'!I46</f>
        <v>-2472377.4250893155</v>
      </c>
    </row>
    <row r="29" spans="1:65" x14ac:dyDescent="0.35">
      <c r="J29" s="405" t="s">
        <v>361</v>
      </c>
      <c r="K29" s="405"/>
      <c r="L29" s="412">
        <f>-'CA&amp;OP-EX'!B4</f>
        <v>-60800</v>
      </c>
      <c r="M29" s="412">
        <f>L29*0.4</f>
        <v>-24320</v>
      </c>
      <c r="N29" s="412">
        <f>M29*2</f>
        <v>-48640</v>
      </c>
      <c r="O29" s="412">
        <f>N29*1.5</f>
        <v>-72960</v>
      </c>
      <c r="P29" s="412">
        <f>O29*1.5</f>
        <v>-109440</v>
      </c>
      <c r="Q29" s="412">
        <f>P29*1.2</f>
        <v>-131328</v>
      </c>
      <c r="R29" s="412">
        <f>Q29*1.2</f>
        <v>-157593.60000000001</v>
      </c>
    </row>
    <row r="30" spans="1:65" x14ac:dyDescent="0.35">
      <c r="J30" s="405" t="s">
        <v>467</v>
      </c>
      <c r="K30" s="405"/>
      <c r="L30" s="412">
        <f>-('CA&amp;OP-EX'!D6+'CA&amp;OP-EX'!D7+'CA&amp;OP-EX'!D9)</f>
        <v>-59750</v>
      </c>
      <c r="M30" s="412">
        <f>L30*1.3</f>
        <v>-77675</v>
      </c>
      <c r="N30" s="412">
        <f>M30</f>
        <v>-77675</v>
      </c>
      <c r="O30" s="412">
        <f>N30*2</f>
        <v>-155350</v>
      </c>
      <c r="P30" s="412">
        <f>O30*1.3</f>
        <v>-201955</v>
      </c>
      <c r="Q30" s="412">
        <f>P30</f>
        <v>-201955</v>
      </c>
      <c r="R30" s="412">
        <f>Q30*1.3</f>
        <v>-262541.5</v>
      </c>
    </row>
    <row r="31" spans="1:65" x14ac:dyDescent="0.35">
      <c r="J31" s="405" t="s">
        <v>417</v>
      </c>
      <c r="K31" s="405"/>
      <c r="L31" s="412">
        <f>-'CA&amp;OP-EX'!D8</f>
        <v>-33520</v>
      </c>
      <c r="M31" s="412">
        <f>L31*6</f>
        <v>-201120</v>
      </c>
      <c r="N31" s="412">
        <f>M31*2</f>
        <v>-402240</v>
      </c>
      <c r="O31" s="412">
        <f>N31</f>
        <v>-402240</v>
      </c>
      <c r="P31" s="412">
        <f>O31</f>
        <v>-402240</v>
      </c>
      <c r="Q31" s="412">
        <f>P31*1.3</f>
        <v>-522912</v>
      </c>
      <c r="R31" s="412">
        <f>Q31</f>
        <v>-522912</v>
      </c>
    </row>
    <row r="32" spans="1:65" x14ac:dyDescent="0.35">
      <c r="J32" s="405" t="s">
        <v>487</v>
      </c>
      <c r="K32" s="405"/>
      <c r="L32" s="412">
        <f>-SUM('CA&amp;OP-EX'!D12:D15)</f>
        <v>-48500</v>
      </c>
      <c r="M32" s="412">
        <f>-('CA&amp;OP-EX'!D13+'CA&amp;OP-EX'!D14)</f>
        <v>-29800</v>
      </c>
      <c r="N32" s="412">
        <f>M32*1.1</f>
        <v>-32780</v>
      </c>
      <c r="O32" s="412">
        <f>N32*1.1</f>
        <v>-36058</v>
      </c>
      <c r="P32" s="412">
        <f>O32*1.1</f>
        <v>-39663.800000000003</v>
      </c>
      <c r="Q32" s="412">
        <f>P32*1.1</f>
        <v>-43630.180000000008</v>
      </c>
      <c r="R32" s="412">
        <f>Q32*1.1</f>
        <v>-47993.198000000011</v>
      </c>
    </row>
    <row r="33" spans="10:65" x14ac:dyDescent="0.35">
      <c r="J33" s="405" t="s">
        <v>498</v>
      </c>
      <c r="K33" s="405"/>
      <c r="L33" s="412">
        <f>L29+L32</f>
        <v>-109300</v>
      </c>
      <c r="M33" s="412">
        <f>M29+M32</f>
        <v>-54120</v>
      </c>
      <c r="N33" s="412">
        <f>N29+N32</f>
        <v>-81420</v>
      </c>
      <c r="O33" s="412">
        <f>O29+O32</f>
        <v>-109018</v>
      </c>
      <c r="P33" s="412">
        <f>P29+P32</f>
        <v>-149103.79999999999</v>
      </c>
      <c r="Q33" s="412">
        <f>Q29+Q32</f>
        <v>-174958.18</v>
      </c>
      <c r="R33" s="412">
        <f>R29+R32</f>
        <v>-205586.79800000001</v>
      </c>
    </row>
    <row r="34" spans="10:65" x14ac:dyDescent="0.35">
      <c r="J34" s="405" t="s">
        <v>497</v>
      </c>
      <c r="K34" s="405"/>
      <c r="L34" s="412">
        <f>L28+L27+L30+L31</f>
        <v>-843750</v>
      </c>
      <c r="M34" s="412">
        <f>M28+M27+M30+M31</f>
        <v>-1655708.1121398439</v>
      </c>
      <c r="N34" s="412">
        <f>N28+N27+N30+N31</f>
        <v>-2719941.943094607</v>
      </c>
      <c r="O34" s="412">
        <f>O28+O27+O30+O31</f>
        <v>-3885341.0388218407</v>
      </c>
      <c r="P34" s="412">
        <f>P28+P27+P30+P31</f>
        <v>-4277132.331293188</v>
      </c>
      <c r="Q34" s="412">
        <f>Q28+Q27+Q30+Q31</f>
        <v>-7227358.7313335808</v>
      </c>
      <c r="R34" s="412">
        <f>R28+R27+R30+R31</f>
        <v>-8288934.9250893155</v>
      </c>
    </row>
    <row r="35" spans="10:65" x14ac:dyDescent="0.35">
      <c r="J35" s="405" t="s">
        <v>502</v>
      </c>
      <c r="K35" s="405" t="s">
        <v>503</v>
      </c>
      <c r="L35" s="412">
        <f>L26+L34</f>
        <v>733392.56250000023</v>
      </c>
      <c r="M35" s="412">
        <f>M26+M34</f>
        <v>6532154.1306570321</v>
      </c>
      <c r="N35" s="412">
        <f>N26+N34</f>
        <v>16925076.91879753</v>
      </c>
      <c r="O35" s="412">
        <f>O26+O34</f>
        <v>23187960.255239516</v>
      </c>
      <c r="P35" s="412">
        <f>P26+P34</f>
        <v>34302378.71181307</v>
      </c>
      <c r="Q35" s="412">
        <f>Q26+Q34</f>
        <v>41818898.979785785</v>
      </c>
      <c r="R35" s="412">
        <f>R26+R34</f>
        <v>74123645.911221206</v>
      </c>
    </row>
    <row r="36" spans="10:65" x14ac:dyDescent="0.35">
      <c r="J36" s="405" t="s">
        <v>494</v>
      </c>
      <c r="K36" s="405"/>
      <c r="L36" s="412">
        <f>L35+L33</f>
        <v>624092.56250000023</v>
      </c>
      <c r="M36" s="412">
        <f>M35+M33</f>
        <v>6478034.1306570321</v>
      </c>
      <c r="N36" s="412">
        <f>N35+N33</f>
        <v>16843656.91879753</v>
      </c>
      <c r="O36" s="412">
        <f>O35+O33</f>
        <v>23078942.255239516</v>
      </c>
      <c r="P36" s="412">
        <f>P35+P33</f>
        <v>34153274.911813073</v>
      </c>
      <c r="Q36" s="412">
        <f>Q35+Q33</f>
        <v>41643940.799785785</v>
      </c>
      <c r="R36" s="412">
        <f>R35+R33</f>
        <v>73918059.113221213</v>
      </c>
    </row>
    <row r="37" spans="10:65" x14ac:dyDescent="0.35">
      <c r="J37" s="408" t="s">
        <v>407</v>
      </c>
      <c r="K37" s="408"/>
      <c r="L37" s="429">
        <f>SUM(L26:L32)</f>
        <v>624092.56250000023</v>
      </c>
      <c r="M37" s="429">
        <f>SUM(M26:M31)</f>
        <v>6507834.1306570321</v>
      </c>
      <c r="N37" s="429">
        <f>SUM(N26:N31)</f>
        <v>16876436.91879753</v>
      </c>
      <c r="O37" s="429">
        <f>SUM(O26:O31)</f>
        <v>23115000.255239516</v>
      </c>
      <c r="P37" s="429">
        <f>SUM(P26:P31)</f>
        <v>34192938.71181307</v>
      </c>
      <c r="Q37" s="429">
        <f>SUM(Q26:Q31)</f>
        <v>41687570.979785785</v>
      </c>
      <c r="R37" s="429">
        <f>SUM(R26:R31)</f>
        <v>73966052.311221212</v>
      </c>
    </row>
    <row r="38" spans="10:65" x14ac:dyDescent="0.35">
      <c r="L38" s="252"/>
      <c r="M38" s="252"/>
    </row>
    <row r="39" spans="10:65" x14ac:dyDescent="0.35">
      <c r="L39" s="252"/>
      <c r="M39" s="252"/>
    </row>
    <row r="40" spans="10:65" x14ac:dyDescent="0.35">
      <c r="J40" s="31"/>
      <c r="L40" s="252"/>
      <c r="M40" s="252"/>
    </row>
    <row r="41" spans="10:65" x14ac:dyDescent="0.35">
      <c r="L41" s="252"/>
      <c r="M41" s="252"/>
    </row>
    <row r="42" spans="10:65" x14ac:dyDescent="0.35">
      <c r="L42" s="252"/>
      <c r="M42" s="252"/>
    </row>
    <row r="43" spans="10:65" x14ac:dyDescent="0.35">
      <c r="L43" s="252"/>
      <c r="M43" s="252"/>
    </row>
    <row r="44" spans="10:65" x14ac:dyDescent="0.35">
      <c r="L44" s="252"/>
      <c r="M44" s="252"/>
    </row>
    <row r="45" spans="10:65" x14ac:dyDescent="0.35">
      <c r="L45" s="252"/>
      <c r="M45" s="252"/>
    </row>
    <row r="46" spans="10:65" x14ac:dyDescent="0.35">
      <c r="L46" s="252"/>
      <c r="M46" s="252"/>
    </row>
    <row r="47" spans="10:65" x14ac:dyDescent="0.35">
      <c r="L47" s="252"/>
      <c r="M47" s="252"/>
    </row>
    <row r="48" spans="10:65" x14ac:dyDescent="0.35">
      <c r="J48" s="31"/>
      <c r="K48" s="31"/>
      <c r="L48" s="31"/>
      <c r="M48" s="31"/>
      <c r="N48" s="31"/>
      <c r="O48" s="31"/>
      <c r="P48" s="31"/>
      <c r="Q48" s="31"/>
      <c r="R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</row>
    <row r="49" spans="10:65" x14ac:dyDescent="0.35">
      <c r="L49" s="252"/>
      <c r="M49" s="252"/>
    </row>
    <row r="50" spans="10:65" x14ac:dyDescent="0.35">
      <c r="L50" s="252"/>
      <c r="M50" s="252"/>
    </row>
    <row r="51" spans="10:65" x14ac:dyDescent="0.35">
      <c r="L51" s="252"/>
      <c r="M51" s="252"/>
    </row>
    <row r="52" spans="10:65" x14ac:dyDescent="0.35">
      <c r="L52" s="252"/>
      <c r="M52" s="252"/>
    </row>
    <row r="53" spans="10:65" x14ac:dyDescent="0.35">
      <c r="L53" s="252"/>
      <c r="M53" s="252"/>
    </row>
    <row r="54" spans="10:65" x14ac:dyDescent="0.35">
      <c r="L54" s="252"/>
      <c r="M54" s="252"/>
    </row>
    <row r="55" spans="10:65" x14ac:dyDescent="0.35">
      <c r="L55" s="252"/>
      <c r="M55" s="252"/>
    </row>
    <row r="56" spans="10:65" x14ac:dyDescent="0.35">
      <c r="L56" s="252"/>
      <c r="M56" s="252"/>
    </row>
    <row r="57" spans="10:65" x14ac:dyDescent="0.35">
      <c r="L57" s="252"/>
      <c r="M57" s="252"/>
    </row>
    <row r="58" spans="10:65" x14ac:dyDescent="0.35">
      <c r="J58" s="31"/>
      <c r="K58" s="31"/>
      <c r="L58" s="31"/>
      <c r="M58" s="31"/>
      <c r="N58" s="31"/>
      <c r="O58" s="31"/>
      <c r="P58" s="31"/>
      <c r="Q58" s="31"/>
      <c r="R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</row>
    <row r="59" spans="10:65" x14ac:dyDescent="0.35">
      <c r="J59" s="31"/>
      <c r="K59" s="31"/>
      <c r="L59" s="31"/>
      <c r="M59" s="31"/>
      <c r="N59" s="31"/>
      <c r="O59" s="31"/>
      <c r="P59" s="31"/>
      <c r="Q59" s="31"/>
      <c r="R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</row>
    <row r="60" spans="10:65" x14ac:dyDescent="0.35">
      <c r="J60" s="31"/>
      <c r="K60" s="31"/>
      <c r="L60" s="31"/>
      <c r="M60" s="31"/>
      <c r="N60" s="31"/>
      <c r="O60" s="31"/>
      <c r="P60" s="31"/>
      <c r="Q60" s="31"/>
      <c r="R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</row>
    <row r="61" spans="10:65" x14ac:dyDescent="0.35">
      <c r="J61" s="31"/>
      <c r="K61" s="31"/>
      <c r="L61" s="31"/>
      <c r="M61" s="31"/>
      <c r="N61" s="31"/>
      <c r="O61" s="31"/>
      <c r="P61" s="31"/>
      <c r="Q61" s="31"/>
      <c r="R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</row>
    <row r="62" spans="10:65" x14ac:dyDescent="0.35">
      <c r="J62" s="31"/>
      <c r="K62" s="31"/>
      <c r="L62" s="31"/>
      <c r="M62" s="31"/>
      <c r="N62" s="31"/>
      <c r="O62" s="31"/>
      <c r="P62" s="31"/>
      <c r="Q62" s="31"/>
      <c r="R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</row>
    <row r="63" spans="10:65" x14ac:dyDescent="0.35">
      <c r="J63" t="s">
        <v>473</v>
      </c>
      <c r="L63" s="1">
        <f>-L28/L37</f>
        <v>0.4268597576821786</v>
      </c>
      <c r="M63" s="253">
        <f>-M28/M37</f>
        <v>6.2907736110125997E-2</v>
      </c>
      <c r="N63" s="253">
        <f>-N28/N37</f>
        <v>5.8202507307721071E-2</v>
      </c>
      <c r="O63" s="253">
        <f>-O28/O37</f>
        <v>3.5137314724352567E-2</v>
      </c>
      <c r="P63" s="253">
        <f>-P28/P37</f>
        <v>3.3848665101526683E-2</v>
      </c>
      <c r="Q63" s="253">
        <f>-Q28/Q37</f>
        <v>3.5295597626617631E-2</v>
      </c>
      <c r="R63" s="253">
        <f>-R28/R37</f>
        <v>3.3425839933791314E-2</v>
      </c>
    </row>
    <row r="64" spans="10:65" x14ac:dyDescent="0.35">
      <c r="J64" t="s">
        <v>263</v>
      </c>
      <c r="L64" s="246" t="s">
        <v>269</v>
      </c>
      <c r="M64" s="82"/>
    </row>
    <row r="65" spans="10:26" x14ac:dyDescent="0.35">
      <c r="L65" s="82" t="s">
        <v>270</v>
      </c>
      <c r="M65" s="82"/>
    </row>
    <row r="66" spans="10:26" x14ac:dyDescent="0.35">
      <c r="L66" s="82" t="s">
        <v>271</v>
      </c>
      <c r="M66" s="82"/>
    </row>
    <row r="67" spans="10:26" x14ac:dyDescent="0.35">
      <c r="K67" s="31" t="s">
        <v>264</v>
      </c>
      <c r="L67" s="82"/>
      <c r="M67" s="82"/>
    </row>
    <row r="68" spans="10:26" x14ac:dyDescent="0.35">
      <c r="K68" s="31" t="s">
        <v>265</v>
      </c>
      <c r="L68" s="82"/>
      <c r="M68" s="82"/>
    </row>
    <row r="69" spans="10:26" x14ac:dyDescent="0.35">
      <c r="K69" t="s">
        <v>148</v>
      </c>
      <c r="L69" s="82" t="s">
        <v>266</v>
      </c>
      <c r="M69" s="82" t="s">
        <v>267</v>
      </c>
      <c r="O69" t="s">
        <v>268</v>
      </c>
    </row>
    <row r="70" spans="10:26" x14ac:dyDescent="0.35">
      <c r="L70" s="26" t="e">
        <f>'M.Shares &amp; Revenue'!D35*1000</f>
        <v>#REF!</v>
      </c>
      <c r="M70">
        <f>'M.Shares &amp; Revenue'!F35</f>
        <v>2.5579999999999995E-2</v>
      </c>
      <c r="O70" s="242">
        <f>'M.Shares &amp; Revenue'!E36</f>
        <v>0.47499999999999998</v>
      </c>
    </row>
    <row r="71" spans="10:26" x14ac:dyDescent="0.35">
      <c r="J71" s="122" t="s">
        <v>148</v>
      </c>
      <c r="K71" s="243" t="s">
        <v>263</v>
      </c>
      <c r="L71" s="244" t="e">
        <f>L70*M70*(1+O70)</f>
        <v>#REF!</v>
      </c>
      <c r="M71" s="245"/>
      <c r="N71" s="122"/>
      <c r="O71" s="122"/>
      <c r="P71" s="122"/>
      <c r="Q71" s="122"/>
      <c r="R71" s="122"/>
      <c r="S71" s="421"/>
      <c r="T71" s="122"/>
      <c r="U71" s="122"/>
      <c r="V71" s="122"/>
      <c r="W71" s="122"/>
      <c r="X71" s="122"/>
      <c r="Y71" s="122"/>
      <c r="Z71" s="122"/>
    </row>
    <row r="72" spans="10:26" x14ac:dyDescent="0.35">
      <c r="L72" s="82"/>
      <c r="M72" s="82"/>
    </row>
    <row r="73" spans="10:26" x14ac:dyDescent="0.35">
      <c r="K73" t="s">
        <v>147</v>
      </c>
      <c r="L73" s="82" t="s">
        <v>266</v>
      </c>
      <c r="M73" s="82" t="s">
        <v>267</v>
      </c>
      <c r="O73" t="s">
        <v>268</v>
      </c>
    </row>
    <row r="74" spans="10:26" x14ac:dyDescent="0.35">
      <c r="L74" s="26" t="e">
        <f>L70</f>
        <v>#REF!</v>
      </c>
      <c r="M74">
        <f>'M.Shares &amp; Revenue'!F87</f>
        <v>3.8369999999999994E-2</v>
      </c>
      <c r="O74" s="242" t="e">
        <f>'M.Shares &amp; Revenue'!E87</f>
        <v>#REF!</v>
      </c>
    </row>
    <row r="75" spans="10:26" x14ac:dyDescent="0.35">
      <c r="J75" s="122" t="s">
        <v>147</v>
      </c>
      <c r="K75" s="243" t="s">
        <v>263</v>
      </c>
      <c r="L75" s="244" t="e">
        <f>L74*M74*(1+O74)</f>
        <v>#REF!</v>
      </c>
      <c r="M75" s="245">
        <f>'M.Shares &amp; Revenue'!F87</f>
        <v>3.8369999999999994E-2</v>
      </c>
      <c r="N75" s="122"/>
      <c r="O75" s="122"/>
      <c r="P75" s="122"/>
      <c r="Q75" s="122"/>
      <c r="R75" s="122"/>
      <c r="S75" s="421"/>
      <c r="T75" s="122"/>
      <c r="U75" s="122"/>
      <c r="V75" s="122"/>
      <c r="W75" s="122"/>
      <c r="X75" s="122"/>
      <c r="Y75" s="122"/>
      <c r="Z75" s="122"/>
    </row>
    <row r="76" spans="10:26" x14ac:dyDescent="0.35">
      <c r="L76" s="26"/>
      <c r="M76" s="26"/>
    </row>
    <row r="77" spans="10:26" x14ac:dyDescent="0.35">
      <c r="L77" s="26"/>
      <c r="M77" s="26"/>
    </row>
    <row r="78" spans="10:26" x14ac:dyDescent="0.35">
      <c r="J78" s="247" t="s">
        <v>272</v>
      </c>
      <c r="K78" s="247"/>
      <c r="L78" s="248" t="e">
        <f>(L75+L71)/2</f>
        <v>#REF!</v>
      </c>
      <c r="M78" s="248"/>
      <c r="N78" s="247"/>
      <c r="O78" s="247"/>
      <c r="P78" s="247"/>
      <c r="Q78" s="247"/>
      <c r="R78" s="247"/>
      <c r="S78" s="422"/>
      <c r="T78" s="247"/>
      <c r="U78" s="247"/>
      <c r="V78" s="247"/>
      <c r="W78" s="247"/>
      <c r="X78" s="247"/>
      <c r="Y78" s="247"/>
      <c r="Z78" s="247"/>
    </row>
    <row r="79" spans="10:26" x14ac:dyDescent="0.35">
      <c r="L79" s="26"/>
      <c r="M79" s="26"/>
    </row>
    <row r="80" spans="10:26" x14ac:dyDescent="0.35">
      <c r="J80" t="s">
        <v>488</v>
      </c>
      <c r="K80" s="349" t="s">
        <v>152</v>
      </c>
      <c r="L80" s="349" t="s">
        <v>110</v>
      </c>
      <c r="M80" s="349" t="s">
        <v>489</v>
      </c>
      <c r="N80" s="349" t="s">
        <v>490</v>
      </c>
      <c r="O80" s="349" t="s">
        <v>491</v>
      </c>
      <c r="P80" s="349" t="s">
        <v>492</v>
      </c>
      <c r="R80" s="349"/>
      <c r="S80" s="423"/>
    </row>
    <row r="81" spans="11:21" x14ac:dyDescent="0.35">
      <c r="K81" s="348"/>
      <c r="L81" s="252"/>
      <c r="M81" s="252"/>
      <c r="R81" s="350"/>
      <c r="S81" s="423"/>
    </row>
    <row r="82" spans="11:21" x14ac:dyDescent="0.35">
      <c r="K82" s="348"/>
      <c r="L82" s="252"/>
      <c r="M82" s="252"/>
    </row>
    <row r="83" spans="11:21" x14ac:dyDescent="0.35">
      <c r="K83" s="348" t="s">
        <v>494</v>
      </c>
      <c r="L83" s="252"/>
      <c r="M83" s="252"/>
    </row>
    <row r="84" spans="11:21" x14ac:dyDescent="0.35">
      <c r="K84" s="348"/>
      <c r="L84" s="252"/>
      <c r="M84" s="252"/>
    </row>
    <row r="85" spans="11:21" x14ac:dyDescent="0.35">
      <c r="K85" s="348"/>
      <c r="L85" s="252"/>
      <c r="M85" s="252"/>
      <c r="R85" s="351"/>
      <c r="S85" s="419"/>
      <c r="T85" s="352"/>
      <c r="U85" s="353"/>
    </row>
    <row r="86" spans="11:21" x14ac:dyDescent="0.35">
      <c r="K86" s="348"/>
      <c r="L86" s="252"/>
      <c r="M86" s="252"/>
      <c r="R86" s="351"/>
      <c r="S86" s="419"/>
      <c r="T86" s="352"/>
      <c r="U86" s="353"/>
    </row>
    <row r="87" spans="11:21" x14ac:dyDescent="0.35">
      <c r="L87" s="252"/>
      <c r="M87" s="252"/>
      <c r="R87" s="351"/>
      <c r="S87" s="419"/>
      <c r="T87" s="352"/>
      <c r="U87" s="353"/>
    </row>
    <row r="88" spans="11:21" x14ac:dyDescent="0.35">
      <c r="L88" s="252"/>
      <c r="M88" s="252"/>
      <c r="R88" s="351"/>
      <c r="S88" s="419"/>
      <c r="T88" s="352"/>
      <c r="U88" s="353"/>
    </row>
    <row r="89" spans="11:21" x14ac:dyDescent="0.35">
      <c r="L89" s="252"/>
      <c r="M89" s="252"/>
      <c r="R89" s="351"/>
      <c r="S89" s="419"/>
      <c r="T89" s="352"/>
      <c r="U89" s="353"/>
    </row>
    <row r="90" spans="11:21" x14ac:dyDescent="0.35">
      <c r="L90" s="252"/>
      <c r="M90" s="252"/>
      <c r="R90" s="351"/>
      <c r="S90" s="419"/>
      <c r="T90" s="352"/>
      <c r="U90" s="353"/>
    </row>
    <row r="91" spans="11:21" x14ac:dyDescent="0.35">
      <c r="L91" s="252"/>
      <c r="M91" s="252"/>
      <c r="R91" s="351"/>
      <c r="S91" s="419"/>
      <c r="T91" s="352"/>
      <c r="U91" s="353"/>
    </row>
    <row r="92" spans="11:21" x14ac:dyDescent="0.35">
      <c r="L92" s="252"/>
      <c r="M92" s="252"/>
    </row>
    <row r="93" spans="11:21" x14ac:dyDescent="0.35">
      <c r="L93" s="252"/>
      <c r="M93" s="252"/>
    </row>
    <row r="94" spans="11:21" x14ac:dyDescent="0.35">
      <c r="L94" s="252"/>
      <c r="M94" s="252"/>
    </row>
    <row r="95" spans="11:21" x14ac:dyDescent="0.35">
      <c r="L95" s="252"/>
      <c r="M95" s="252"/>
    </row>
    <row r="96" spans="11:21" x14ac:dyDescent="0.35">
      <c r="L96" s="252"/>
      <c r="M96" s="252"/>
    </row>
    <row r="97" spans="12:13" x14ac:dyDescent="0.35">
      <c r="L97" s="252"/>
      <c r="M97" s="252"/>
    </row>
    <row r="98" spans="12:13" x14ac:dyDescent="0.35">
      <c r="L98" s="252"/>
      <c r="M98" s="252"/>
    </row>
    <row r="99" spans="12:13" x14ac:dyDescent="0.35">
      <c r="L99" s="252"/>
      <c r="M99" s="252"/>
    </row>
    <row r="100" spans="12:13" x14ac:dyDescent="0.35">
      <c r="L100" s="252"/>
      <c r="M100" s="252"/>
    </row>
    <row r="101" spans="12:13" x14ac:dyDescent="0.35">
      <c r="L101" s="252"/>
      <c r="M101" s="252"/>
    </row>
    <row r="102" spans="12:13" x14ac:dyDescent="0.35">
      <c r="L102" s="252"/>
      <c r="M102" s="252"/>
    </row>
    <row r="103" spans="12:13" x14ac:dyDescent="0.35">
      <c r="L103" s="252"/>
      <c r="M103" s="252"/>
    </row>
    <row r="104" spans="12:13" x14ac:dyDescent="0.35">
      <c r="L104" s="252"/>
      <c r="M104" s="252"/>
    </row>
    <row r="105" spans="12:13" x14ac:dyDescent="0.35">
      <c r="L105" s="252"/>
      <c r="M105" s="252"/>
    </row>
    <row r="106" spans="12:13" x14ac:dyDescent="0.35">
      <c r="L106" s="252"/>
      <c r="M106" s="252"/>
    </row>
    <row r="107" spans="12:13" x14ac:dyDescent="0.35">
      <c r="L107" s="252"/>
      <c r="M107" s="252"/>
    </row>
    <row r="108" spans="12:13" x14ac:dyDescent="0.35">
      <c r="L108" s="252"/>
      <c r="M108" s="252"/>
    </row>
    <row r="109" spans="12:13" x14ac:dyDescent="0.35">
      <c r="L109" s="252"/>
      <c r="M109" s="252"/>
    </row>
    <row r="110" spans="12:13" x14ac:dyDescent="0.35">
      <c r="L110" s="252"/>
      <c r="M110" s="252"/>
    </row>
    <row r="111" spans="12:13" x14ac:dyDescent="0.35">
      <c r="L111" s="252"/>
      <c r="M111" s="252"/>
    </row>
    <row r="112" spans="12:13" x14ac:dyDescent="0.35">
      <c r="L112" s="252"/>
      <c r="M112" s="252"/>
    </row>
    <row r="113" spans="12:13" x14ac:dyDescent="0.35">
      <c r="L113" s="252"/>
      <c r="M113" s="252"/>
    </row>
    <row r="114" spans="12:13" x14ac:dyDescent="0.35">
      <c r="L114" s="252"/>
      <c r="M114" s="252"/>
    </row>
    <row r="115" spans="12:13" x14ac:dyDescent="0.35">
      <c r="L115" s="252"/>
      <c r="M115" s="252"/>
    </row>
    <row r="116" spans="12:13" x14ac:dyDescent="0.35">
      <c r="L116" s="252"/>
      <c r="M116" s="252"/>
    </row>
    <row r="117" spans="12:13" x14ac:dyDescent="0.35">
      <c r="L117" s="252"/>
      <c r="M117" s="252"/>
    </row>
    <row r="118" spans="12:13" x14ac:dyDescent="0.35">
      <c r="L118" s="252"/>
      <c r="M118" s="252"/>
    </row>
    <row r="119" spans="12:13" x14ac:dyDescent="0.35">
      <c r="L119" s="252"/>
      <c r="M119" s="252"/>
    </row>
    <row r="120" spans="12:13" x14ac:dyDescent="0.35">
      <c r="L120" s="252"/>
      <c r="M120" s="252"/>
    </row>
    <row r="121" spans="12:13" x14ac:dyDescent="0.35">
      <c r="L121" s="252"/>
      <c r="M121" s="252"/>
    </row>
    <row r="122" spans="12:13" x14ac:dyDescent="0.35">
      <c r="L122" s="252"/>
      <c r="M122" s="252"/>
    </row>
    <row r="123" spans="12:13" x14ac:dyDescent="0.35">
      <c r="L123" s="252"/>
      <c r="M123" s="252"/>
    </row>
    <row r="124" spans="12:13" x14ac:dyDescent="0.35">
      <c r="L124" s="252"/>
      <c r="M124" s="252"/>
    </row>
    <row r="125" spans="12:13" x14ac:dyDescent="0.35">
      <c r="L125" s="252"/>
      <c r="M125" s="252"/>
    </row>
    <row r="126" spans="12:13" x14ac:dyDescent="0.35">
      <c r="L126" s="252"/>
      <c r="M126" s="252"/>
    </row>
    <row r="127" spans="12:13" x14ac:dyDescent="0.35">
      <c r="L127" s="252"/>
      <c r="M127" s="252"/>
    </row>
    <row r="128" spans="12:13" x14ac:dyDescent="0.35">
      <c r="L128" s="252"/>
      <c r="M128" s="252"/>
    </row>
    <row r="129" spans="12:13" x14ac:dyDescent="0.35">
      <c r="L129" s="252"/>
      <c r="M129" s="252"/>
    </row>
    <row r="130" spans="12:13" x14ac:dyDescent="0.35">
      <c r="L130" s="252"/>
      <c r="M130" s="252"/>
    </row>
    <row r="131" spans="12:13" x14ac:dyDescent="0.35">
      <c r="L131" s="252"/>
      <c r="M131" s="252"/>
    </row>
    <row r="132" spans="12:13" x14ac:dyDescent="0.35">
      <c r="L132" s="252"/>
      <c r="M132" s="252"/>
    </row>
    <row r="133" spans="12:13" x14ac:dyDescent="0.35">
      <c r="L133" s="252"/>
      <c r="M133" s="252"/>
    </row>
    <row r="134" spans="12:13" x14ac:dyDescent="0.35">
      <c r="L134" s="252"/>
      <c r="M134" s="252"/>
    </row>
    <row r="135" spans="12:13" x14ac:dyDescent="0.35">
      <c r="L135" s="252"/>
      <c r="M135" s="252"/>
    </row>
    <row r="136" spans="12:13" x14ac:dyDescent="0.35">
      <c r="L136" s="252"/>
      <c r="M136" s="252"/>
    </row>
    <row r="137" spans="12:13" x14ac:dyDescent="0.35">
      <c r="L137" s="252"/>
      <c r="M137" s="252"/>
    </row>
    <row r="138" spans="12:13" x14ac:dyDescent="0.35">
      <c r="L138" s="252"/>
      <c r="M138" s="252"/>
    </row>
    <row r="139" spans="12:13" x14ac:dyDescent="0.35">
      <c r="L139" s="252"/>
      <c r="M139" s="252"/>
    </row>
    <row r="140" spans="12:13" x14ac:dyDescent="0.35">
      <c r="L140" s="252"/>
      <c r="M140" s="252"/>
    </row>
    <row r="141" spans="12:13" x14ac:dyDescent="0.35">
      <c r="L141" s="252"/>
      <c r="M141" s="252"/>
    </row>
    <row r="142" spans="12:13" x14ac:dyDescent="0.35">
      <c r="L142" s="252"/>
      <c r="M142" s="252"/>
    </row>
    <row r="143" spans="12:13" x14ac:dyDescent="0.35">
      <c r="L143" s="252"/>
      <c r="M143" s="252"/>
    </row>
    <row r="144" spans="12:13" x14ac:dyDescent="0.35">
      <c r="L144" s="252"/>
      <c r="M144" s="252"/>
    </row>
    <row r="145" spans="12:13" x14ac:dyDescent="0.35">
      <c r="L145" s="252"/>
      <c r="M145" s="252"/>
    </row>
    <row r="146" spans="12:13" x14ac:dyDescent="0.35">
      <c r="L146" s="252"/>
      <c r="M146" s="252"/>
    </row>
    <row r="147" spans="12:13" x14ac:dyDescent="0.35">
      <c r="L147" s="252"/>
      <c r="M147" s="252"/>
    </row>
    <row r="148" spans="12:13" x14ac:dyDescent="0.35">
      <c r="L148" s="252"/>
      <c r="M148" s="252"/>
    </row>
    <row r="149" spans="12:13" x14ac:dyDescent="0.35">
      <c r="L149" s="252"/>
      <c r="M149" s="252"/>
    </row>
    <row r="150" spans="12:13" x14ac:dyDescent="0.35">
      <c r="L150" s="252"/>
      <c r="M150" s="252"/>
    </row>
    <row r="151" spans="12:13" x14ac:dyDescent="0.35">
      <c r="L151" s="252"/>
      <c r="M151" s="252"/>
    </row>
    <row r="152" spans="12:13" x14ac:dyDescent="0.35">
      <c r="L152" s="252"/>
      <c r="M152" s="252"/>
    </row>
    <row r="153" spans="12:13" x14ac:dyDescent="0.35">
      <c r="L153" s="252"/>
      <c r="M153" s="252"/>
    </row>
    <row r="154" spans="12:13" x14ac:dyDescent="0.35">
      <c r="L154" s="252"/>
      <c r="M154" s="252"/>
    </row>
    <row r="155" spans="12:13" x14ac:dyDescent="0.35">
      <c r="L155" s="252"/>
      <c r="M155" s="252"/>
    </row>
    <row r="156" spans="12:13" x14ac:dyDescent="0.35">
      <c r="L156" s="252"/>
      <c r="M156" s="252"/>
    </row>
    <row r="157" spans="12:13" x14ac:dyDescent="0.35">
      <c r="L157" s="252"/>
      <c r="M157" s="252"/>
    </row>
    <row r="158" spans="12:13" x14ac:dyDescent="0.35">
      <c r="L158" s="252"/>
      <c r="M158" s="252"/>
    </row>
    <row r="159" spans="12:13" x14ac:dyDescent="0.35">
      <c r="L159" s="252"/>
      <c r="M159" s="252"/>
    </row>
    <row r="160" spans="12:13" x14ac:dyDescent="0.35">
      <c r="L160" s="252"/>
      <c r="M160" s="252"/>
    </row>
    <row r="161" spans="12:13" x14ac:dyDescent="0.35">
      <c r="L161" s="252"/>
      <c r="M161" s="252"/>
    </row>
    <row r="162" spans="12:13" x14ac:dyDescent="0.35">
      <c r="L162" s="252"/>
      <c r="M162" s="252"/>
    </row>
    <row r="163" spans="12:13" x14ac:dyDescent="0.35">
      <c r="L163" s="252"/>
      <c r="M163" s="252"/>
    </row>
    <row r="164" spans="12:13" x14ac:dyDescent="0.35">
      <c r="L164" s="252"/>
      <c r="M164" s="252"/>
    </row>
    <row r="165" spans="12:13" x14ac:dyDescent="0.35">
      <c r="L165" s="252"/>
      <c r="M165" s="252"/>
    </row>
    <row r="166" spans="12:13" x14ac:dyDescent="0.35">
      <c r="L166" s="252"/>
      <c r="M166" s="252"/>
    </row>
    <row r="167" spans="12:13" x14ac:dyDescent="0.35">
      <c r="L167" s="252"/>
      <c r="M167" s="252"/>
    </row>
    <row r="168" spans="12:13" x14ac:dyDescent="0.35">
      <c r="L168" s="252"/>
      <c r="M168" s="252"/>
    </row>
    <row r="169" spans="12:13" x14ac:dyDescent="0.35">
      <c r="L169" s="252"/>
      <c r="M169" s="252"/>
    </row>
    <row r="170" spans="12:13" x14ac:dyDescent="0.35">
      <c r="L170" s="252"/>
      <c r="M170" s="252"/>
    </row>
    <row r="171" spans="12:13" x14ac:dyDescent="0.35">
      <c r="L171" s="252"/>
      <c r="M171" s="252"/>
    </row>
    <row r="172" spans="12:13" x14ac:dyDescent="0.35">
      <c r="L172" s="252"/>
      <c r="M172" s="252"/>
    </row>
    <row r="173" spans="12:13" x14ac:dyDescent="0.35">
      <c r="L173" s="252"/>
      <c r="M173" s="252"/>
    </row>
    <row r="174" spans="12:13" x14ac:dyDescent="0.35">
      <c r="L174" s="252"/>
      <c r="M174" s="252"/>
    </row>
    <row r="175" spans="12:13" x14ac:dyDescent="0.35">
      <c r="L175" s="252"/>
      <c r="M175" s="252"/>
    </row>
    <row r="176" spans="12:13" x14ac:dyDescent="0.35">
      <c r="L176" s="252"/>
      <c r="M176" s="252"/>
    </row>
    <row r="177" spans="12:13" x14ac:dyDescent="0.35">
      <c r="L177" s="252"/>
      <c r="M177" s="252"/>
    </row>
    <row r="178" spans="12:13" x14ac:dyDescent="0.35">
      <c r="L178" s="252"/>
      <c r="M178" s="252"/>
    </row>
    <row r="179" spans="12:13" x14ac:dyDescent="0.35">
      <c r="L179" s="252"/>
      <c r="M179" s="252"/>
    </row>
    <row r="180" spans="12:13" x14ac:dyDescent="0.35">
      <c r="L180" s="252"/>
      <c r="M180" s="252"/>
    </row>
    <row r="181" spans="12:13" x14ac:dyDescent="0.35">
      <c r="L181" s="252"/>
      <c r="M181" s="252"/>
    </row>
    <row r="182" spans="12:13" x14ac:dyDescent="0.35">
      <c r="L182" s="252"/>
      <c r="M182" s="252"/>
    </row>
    <row r="183" spans="12:13" x14ac:dyDescent="0.35">
      <c r="L183" s="252"/>
      <c r="M183" s="252"/>
    </row>
    <row r="184" spans="12:13" x14ac:dyDescent="0.35">
      <c r="L184" s="252"/>
      <c r="M184" s="252"/>
    </row>
    <row r="185" spans="12:13" x14ac:dyDescent="0.35">
      <c r="L185" s="252"/>
      <c r="M185" s="252"/>
    </row>
    <row r="186" spans="12:13" x14ac:dyDescent="0.35">
      <c r="L186" s="252"/>
      <c r="M186" s="252"/>
    </row>
    <row r="187" spans="12:13" x14ac:dyDescent="0.35">
      <c r="L187" s="252"/>
      <c r="M187" s="252"/>
    </row>
    <row r="188" spans="12:13" x14ac:dyDescent="0.35">
      <c r="L188" s="252"/>
      <c r="M188" s="252"/>
    </row>
    <row r="189" spans="12:13" x14ac:dyDescent="0.35">
      <c r="L189" s="252"/>
      <c r="M189" s="252"/>
    </row>
    <row r="190" spans="12:13" x14ac:dyDescent="0.35">
      <c r="L190" s="252"/>
      <c r="M190" s="252"/>
    </row>
    <row r="191" spans="12:13" x14ac:dyDescent="0.35">
      <c r="L191" s="252"/>
      <c r="M191" s="252"/>
    </row>
    <row r="192" spans="12:13" x14ac:dyDescent="0.35">
      <c r="L192" s="252"/>
      <c r="M192" s="252"/>
    </row>
    <row r="193" spans="12:13" x14ac:dyDescent="0.35">
      <c r="L193" s="252"/>
      <c r="M193" s="252"/>
    </row>
    <row r="194" spans="12:13" x14ac:dyDescent="0.35">
      <c r="L194" s="252"/>
      <c r="M194" s="252"/>
    </row>
    <row r="195" spans="12:13" x14ac:dyDescent="0.35">
      <c r="L195" s="252"/>
      <c r="M195" s="252"/>
    </row>
  </sheetData>
  <sheetProtection algorithmName="SHA-512" hashValue="qopYnG0LjJlNdg6Y3LokR0+S5Qe7bCx4bQtZ9nmJEhU/yy3G/Tk5eQRz3Wg6IzJxxNGGxJj0GMu+/ecRIGD4iA==" saltValue="FzoT8G77sxe7zvowgnI4w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E2782-AC6B-4ECD-ACC1-4B31C079F195}">
  <dimension ref="A1:O31"/>
  <sheetViews>
    <sheetView zoomScale="70" zoomScaleNormal="70" workbookViewId="0">
      <selection sqref="A1:L25"/>
    </sheetView>
  </sheetViews>
  <sheetFormatPr defaultColWidth="9.1796875" defaultRowHeight="14.5" x14ac:dyDescent="0.35"/>
  <cols>
    <col min="1" max="1" width="29.81640625" bestFit="1" customWidth="1"/>
    <col min="2" max="2" width="17.81640625" bestFit="1" customWidth="1"/>
    <col min="3" max="3" width="16" style="276" bestFit="1" customWidth="1"/>
    <col min="4" max="4" width="4.1796875" customWidth="1"/>
    <col min="5" max="5" width="9.54296875" customWidth="1"/>
    <col min="6" max="6" width="17.81640625" style="276" bestFit="1" customWidth="1"/>
    <col min="7" max="7" width="18" customWidth="1"/>
    <col min="8" max="8" width="2.7265625" customWidth="1"/>
    <col min="9" max="9" width="13.08984375" customWidth="1"/>
    <col min="10" max="10" width="15.7265625" style="252" customWidth="1"/>
    <col min="11" max="11" width="9.1796875" style="189" customWidth="1"/>
    <col min="12" max="12" width="11.90625" style="189" bestFit="1" customWidth="1"/>
    <col min="13" max="15" width="9.1796875" style="189" customWidth="1"/>
  </cols>
  <sheetData>
    <row r="1" spans="1:15" s="187" customFormat="1" x14ac:dyDescent="0.35">
      <c r="A1" s="4" t="s">
        <v>149</v>
      </c>
      <c r="B1" s="187" t="s">
        <v>380</v>
      </c>
      <c r="C1" s="283" t="s">
        <v>379</v>
      </c>
      <c r="D1" s="187" t="s">
        <v>232</v>
      </c>
      <c r="E1" s="187" t="s">
        <v>458</v>
      </c>
      <c r="F1" s="283" t="s">
        <v>388</v>
      </c>
      <c r="G1" s="225" t="s">
        <v>382</v>
      </c>
      <c r="I1" s="187" t="s">
        <v>449</v>
      </c>
      <c r="J1" s="340" t="s">
        <v>1</v>
      </c>
      <c r="K1" s="339" t="s">
        <v>459</v>
      </c>
      <c r="L1" s="339" t="s">
        <v>233</v>
      </c>
      <c r="M1" s="226"/>
      <c r="N1" s="226"/>
      <c r="O1" s="226"/>
    </row>
    <row r="2" spans="1:15" x14ac:dyDescent="0.35">
      <c r="A2" s="9" t="s">
        <v>367</v>
      </c>
      <c r="B2" s="285">
        <v>43000</v>
      </c>
      <c r="C2" s="276">
        <v>9750</v>
      </c>
      <c r="D2">
        <v>1</v>
      </c>
      <c r="E2" s="210">
        <v>12</v>
      </c>
      <c r="F2" s="285">
        <f>D2*B2*E2</f>
        <v>516000</v>
      </c>
      <c r="G2" s="276">
        <f>C2*D2*E2</f>
        <v>117000</v>
      </c>
      <c r="I2" t="s">
        <v>450</v>
      </c>
      <c r="J2" s="252">
        <f>F25</f>
        <v>267120</v>
      </c>
    </row>
    <row r="3" spans="1:15" x14ac:dyDescent="0.35">
      <c r="A3" s="9" t="s">
        <v>368</v>
      </c>
      <c r="B3" s="285">
        <v>37000</v>
      </c>
      <c r="C3" s="276">
        <v>12000</v>
      </c>
      <c r="D3">
        <v>1</v>
      </c>
      <c r="E3" s="210">
        <v>12</v>
      </c>
      <c r="F3" s="285">
        <f t="shared" ref="F3:F19" si="0">D3*B3*E3</f>
        <v>444000</v>
      </c>
      <c r="G3" s="276">
        <f t="shared" ref="G3:G20" si="1">C3*D3*E3</f>
        <v>144000</v>
      </c>
      <c r="I3" t="s">
        <v>451</v>
      </c>
      <c r="J3" s="252">
        <v>110000</v>
      </c>
    </row>
    <row r="4" spans="1:15" x14ac:dyDescent="0.35">
      <c r="A4" s="9" t="s">
        <v>369</v>
      </c>
      <c r="B4" s="285">
        <v>33000</v>
      </c>
      <c r="C4" s="276">
        <v>12000</v>
      </c>
      <c r="D4">
        <v>1</v>
      </c>
      <c r="E4" s="210">
        <v>12</v>
      </c>
      <c r="F4" s="285">
        <f t="shared" si="0"/>
        <v>396000</v>
      </c>
      <c r="G4" s="276">
        <f t="shared" si="1"/>
        <v>144000</v>
      </c>
      <c r="I4" t="s">
        <v>452</v>
      </c>
      <c r="J4" s="252">
        <v>70000</v>
      </c>
    </row>
    <row r="5" spans="1:15" x14ac:dyDescent="0.35">
      <c r="A5" s="9" t="s">
        <v>370</v>
      </c>
      <c r="B5" s="285">
        <v>33000</v>
      </c>
      <c r="C5" s="276">
        <v>12000</v>
      </c>
      <c r="D5">
        <v>1</v>
      </c>
      <c r="E5" s="210">
        <v>12</v>
      </c>
      <c r="F5" s="285">
        <f t="shared" si="0"/>
        <v>396000</v>
      </c>
      <c r="G5" s="276">
        <f t="shared" si="1"/>
        <v>144000</v>
      </c>
      <c r="I5" t="s">
        <v>453</v>
      </c>
      <c r="J5" s="252">
        <v>70000</v>
      </c>
    </row>
    <row r="6" spans="1:15" x14ac:dyDescent="0.35">
      <c r="A6" s="9" t="s">
        <v>371</v>
      </c>
      <c r="B6" s="285">
        <v>49000</v>
      </c>
      <c r="C6" s="276">
        <v>15000</v>
      </c>
      <c r="D6">
        <v>1</v>
      </c>
      <c r="E6" s="210">
        <v>12</v>
      </c>
      <c r="F6" s="285">
        <f t="shared" si="0"/>
        <v>588000</v>
      </c>
      <c r="G6" s="276">
        <f t="shared" si="1"/>
        <v>180000</v>
      </c>
      <c r="I6" t="s">
        <v>454</v>
      </c>
      <c r="J6" s="252">
        <v>40000</v>
      </c>
    </row>
    <row r="7" spans="1:15" x14ac:dyDescent="0.35">
      <c r="A7" s="9" t="s">
        <v>381</v>
      </c>
      <c r="B7" s="285">
        <v>44000</v>
      </c>
      <c r="C7" s="276">
        <v>30000</v>
      </c>
      <c r="D7">
        <v>1</v>
      </c>
      <c r="E7" s="210">
        <v>12</v>
      </c>
      <c r="F7" s="285">
        <f t="shared" si="0"/>
        <v>528000</v>
      </c>
      <c r="G7" s="276">
        <f t="shared" si="1"/>
        <v>360000</v>
      </c>
      <c r="I7" t="s">
        <v>455</v>
      </c>
      <c r="J7" s="252">
        <v>110000</v>
      </c>
    </row>
    <row r="8" spans="1:15" x14ac:dyDescent="0.35">
      <c r="A8" s="9" t="s">
        <v>372</v>
      </c>
      <c r="B8" s="285">
        <v>40000</v>
      </c>
      <c r="C8" s="276">
        <v>25000</v>
      </c>
      <c r="D8">
        <v>1</v>
      </c>
      <c r="E8" s="210">
        <v>12</v>
      </c>
      <c r="F8" s="285">
        <f t="shared" si="0"/>
        <v>480000</v>
      </c>
      <c r="G8" s="276">
        <f t="shared" si="1"/>
        <v>300000</v>
      </c>
      <c r="I8" t="s">
        <v>456</v>
      </c>
      <c r="J8" s="252">
        <v>110000</v>
      </c>
    </row>
    <row r="9" spans="1:15" x14ac:dyDescent="0.35">
      <c r="A9" s="9" t="s">
        <v>374</v>
      </c>
      <c r="B9" s="285">
        <v>27000</v>
      </c>
      <c r="C9" s="276">
        <v>18000</v>
      </c>
      <c r="D9">
        <v>1</v>
      </c>
      <c r="E9" s="210">
        <v>12</v>
      </c>
      <c r="F9" s="285">
        <f t="shared" si="0"/>
        <v>324000</v>
      </c>
      <c r="G9" s="276">
        <f t="shared" si="1"/>
        <v>216000</v>
      </c>
      <c r="I9" t="s">
        <v>457</v>
      </c>
      <c r="J9" s="252">
        <v>80000</v>
      </c>
    </row>
    <row r="10" spans="1:15" x14ac:dyDescent="0.35">
      <c r="A10" s="9" t="s">
        <v>373</v>
      </c>
      <c r="B10" s="285">
        <v>22000</v>
      </c>
      <c r="C10" s="276">
        <v>15000</v>
      </c>
      <c r="D10">
        <v>1</v>
      </c>
      <c r="E10" s="210">
        <v>12</v>
      </c>
      <c r="F10" s="285">
        <f t="shared" si="0"/>
        <v>264000</v>
      </c>
      <c r="G10" s="276">
        <f t="shared" si="1"/>
        <v>180000</v>
      </c>
      <c r="I10" t="s">
        <v>460</v>
      </c>
      <c r="J10" s="252">
        <f>SUM(F2:F12)*1.25/50</f>
        <v>110400</v>
      </c>
      <c r="L10" s="342">
        <f>SUM(J2:J10)</f>
        <v>967520</v>
      </c>
    </row>
    <row r="11" spans="1:15" x14ac:dyDescent="0.35">
      <c r="A11" s="9" t="s">
        <v>375</v>
      </c>
      <c r="B11" s="285">
        <v>20000</v>
      </c>
      <c r="C11" s="276">
        <v>19000</v>
      </c>
      <c r="D11">
        <v>1</v>
      </c>
      <c r="E11" s="210">
        <v>12</v>
      </c>
      <c r="F11" s="285">
        <f t="shared" si="0"/>
        <v>240000</v>
      </c>
      <c r="G11" s="276">
        <f t="shared" si="1"/>
        <v>228000</v>
      </c>
    </row>
    <row r="12" spans="1:15" x14ac:dyDescent="0.35">
      <c r="A12" s="9" t="s">
        <v>376</v>
      </c>
      <c r="B12" s="285">
        <v>20000</v>
      </c>
      <c r="C12" s="276">
        <v>20000</v>
      </c>
      <c r="D12">
        <v>1</v>
      </c>
      <c r="E12" s="210">
        <v>12</v>
      </c>
      <c r="F12" s="285">
        <f t="shared" si="0"/>
        <v>240000</v>
      </c>
      <c r="G12" s="276">
        <f t="shared" si="1"/>
        <v>240000</v>
      </c>
    </row>
    <row r="13" spans="1:15" x14ac:dyDescent="0.35">
      <c r="A13" s="9" t="s">
        <v>378</v>
      </c>
      <c r="B13" s="285">
        <v>75000</v>
      </c>
      <c r="C13" s="276">
        <v>54000</v>
      </c>
      <c r="D13">
        <v>1</v>
      </c>
      <c r="E13" s="210">
        <v>12</v>
      </c>
      <c r="F13" s="285">
        <f t="shared" si="0"/>
        <v>900000</v>
      </c>
      <c r="G13" s="276">
        <f t="shared" si="1"/>
        <v>648000</v>
      </c>
    </row>
    <row r="14" spans="1:15" x14ac:dyDescent="0.35">
      <c r="A14" s="9" t="s">
        <v>377</v>
      </c>
      <c r="B14" s="285">
        <v>75000</v>
      </c>
      <c r="C14" s="276">
        <v>44000</v>
      </c>
      <c r="D14">
        <v>1</v>
      </c>
      <c r="E14" s="210">
        <v>12</v>
      </c>
      <c r="F14" s="285">
        <f t="shared" si="0"/>
        <v>900000</v>
      </c>
      <c r="G14" s="276">
        <f t="shared" si="1"/>
        <v>528000</v>
      </c>
      <c r="M14" s="189">
        <v>70000</v>
      </c>
    </row>
    <row r="15" spans="1:15" x14ac:dyDescent="0.35">
      <c r="A15" s="9" t="s">
        <v>383</v>
      </c>
      <c r="B15" s="285">
        <v>12000</v>
      </c>
      <c r="C15" s="276">
        <v>5000</v>
      </c>
      <c r="D15">
        <v>1</v>
      </c>
      <c r="E15" s="210">
        <v>12</v>
      </c>
      <c r="F15" s="285">
        <f t="shared" si="0"/>
        <v>144000</v>
      </c>
      <c r="G15" s="276">
        <f t="shared" si="1"/>
        <v>60000</v>
      </c>
    </row>
    <row r="16" spans="1:15" x14ac:dyDescent="0.35">
      <c r="A16" s="9" t="s">
        <v>384</v>
      </c>
      <c r="B16" s="285">
        <v>30000</v>
      </c>
      <c r="C16" s="276">
        <v>20000</v>
      </c>
      <c r="D16">
        <v>1</v>
      </c>
      <c r="E16" s="210">
        <v>12</v>
      </c>
      <c r="F16" s="285">
        <f t="shared" si="0"/>
        <v>360000</v>
      </c>
      <c r="G16" s="276">
        <f t="shared" si="1"/>
        <v>240000</v>
      </c>
    </row>
    <row r="17" spans="1:15" x14ac:dyDescent="0.35">
      <c r="A17" s="9" t="s">
        <v>387</v>
      </c>
      <c r="B17" s="285">
        <v>15000</v>
      </c>
      <c r="C17" s="276">
        <v>7000</v>
      </c>
      <c r="D17">
        <v>1</v>
      </c>
      <c r="E17" s="210">
        <v>12</v>
      </c>
      <c r="F17" s="285">
        <f t="shared" si="0"/>
        <v>180000</v>
      </c>
      <c r="G17" s="276">
        <f t="shared" si="1"/>
        <v>84000</v>
      </c>
    </row>
    <row r="18" spans="1:15" x14ac:dyDescent="0.35">
      <c r="A18" s="9" t="s">
        <v>385</v>
      </c>
      <c r="B18" s="285">
        <v>20000</v>
      </c>
      <c r="C18" s="276">
        <v>10000</v>
      </c>
      <c r="D18">
        <v>1</v>
      </c>
      <c r="E18" s="210">
        <v>12</v>
      </c>
      <c r="F18" s="285">
        <f t="shared" si="0"/>
        <v>240000</v>
      </c>
      <c r="G18" s="276">
        <f t="shared" si="1"/>
        <v>120000</v>
      </c>
    </row>
    <row r="19" spans="1:15" x14ac:dyDescent="0.35">
      <c r="A19" s="9" t="s">
        <v>386</v>
      </c>
      <c r="B19" s="285">
        <v>45000</v>
      </c>
      <c r="C19" s="276">
        <v>25000</v>
      </c>
      <c r="D19">
        <v>1</v>
      </c>
      <c r="E19" s="210">
        <v>12</v>
      </c>
      <c r="F19" s="285">
        <f t="shared" si="0"/>
        <v>540000</v>
      </c>
      <c r="G19" s="276">
        <f t="shared" si="1"/>
        <v>300000</v>
      </c>
    </row>
    <row r="20" spans="1:15" x14ac:dyDescent="0.35">
      <c r="A20" s="9" t="s">
        <v>389</v>
      </c>
      <c r="B20" s="285">
        <f>C20*13.4</f>
        <v>201000</v>
      </c>
      <c r="C20" s="276">
        <v>15000</v>
      </c>
      <c r="D20">
        <v>2</v>
      </c>
      <c r="E20" s="210">
        <v>12</v>
      </c>
      <c r="F20" s="285">
        <f>E20*D20*B20</f>
        <v>4824000</v>
      </c>
      <c r="G20" s="276">
        <f t="shared" si="1"/>
        <v>360000</v>
      </c>
    </row>
    <row r="21" spans="1:15" x14ac:dyDescent="0.35">
      <c r="A21" s="9" t="s">
        <v>468</v>
      </c>
      <c r="B21" s="285">
        <v>35000</v>
      </c>
      <c r="D21">
        <v>1</v>
      </c>
      <c r="E21" s="210">
        <v>12</v>
      </c>
      <c r="F21" s="285">
        <f>E21*D21*B21</f>
        <v>420000</v>
      </c>
      <c r="G21" s="276"/>
    </row>
    <row r="22" spans="1:15" x14ac:dyDescent="0.35">
      <c r="A22" s="9" t="s">
        <v>469</v>
      </c>
      <c r="B22" s="285">
        <v>12000</v>
      </c>
      <c r="D22">
        <v>3</v>
      </c>
      <c r="E22" s="210">
        <v>12</v>
      </c>
      <c r="F22" s="285">
        <f>E22*D22*B22</f>
        <v>432000</v>
      </c>
      <c r="G22" s="276"/>
    </row>
    <row r="23" spans="1:15" s="28" customFormat="1" ht="15" thickBot="1" x14ac:dyDescent="0.4">
      <c r="A23" s="5" t="s">
        <v>233</v>
      </c>
      <c r="B23" s="286"/>
      <c r="C23" s="284"/>
      <c r="D23" s="228">
        <f>SUM(D2:D18)</f>
        <v>17</v>
      </c>
      <c r="E23" s="228"/>
      <c r="F23" s="286">
        <f>SUM(F2:F22)</f>
        <v>13356000</v>
      </c>
      <c r="G23" s="284">
        <f>SUM(G2:G20)</f>
        <v>4593000</v>
      </c>
      <c r="J23" s="341"/>
      <c r="K23" s="229"/>
      <c r="L23" s="229"/>
      <c r="M23" s="229"/>
      <c r="N23" s="229"/>
      <c r="O23" s="229"/>
    </row>
    <row r="25" spans="1:15" x14ac:dyDescent="0.35">
      <c r="F25" s="252">
        <f>F23/50</f>
        <v>267120</v>
      </c>
      <c r="G25" s="252">
        <f>G23*0.27</f>
        <v>1240110</v>
      </c>
    </row>
    <row r="26" spans="1:15" x14ac:dyDescent="0.35">
      <c r="G26" s="227"/>
    </row>
    <row r="31" spans="1:15" ht="6" customHeight="1" x14ac:dyDescent="0.35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3AF0C-4BEA-4906-B3F6-856A7E84161C}">
  <dimension ref="A1:R16"/>
  <sheetViews>
    <sheetView workbookViewId="0">
      <selection activeCell="B5" sqref="B5"/>
    </sheetView>
  </sheetViews>
  <sheetFormatPr defaultColWidth="0" defaultRowHeight="14.5" zeroHeight="1" x14ac:dyDescent="0.35"/>
  <cols>
    <col min="1" max="1" width="1.7265625" bestFit="1" customWidth="1"/>
    <col min="2" max="2" width="20.6328125" bestFit="1" customWidth="1"/>
    <col min="3" max="3" width="10.54296875" bestFit="1" customWidth="1"/>
    <col min="4" max="4" width="18" bestFit="1" customWidth="1"/>
    <col min="5" max="5" width="14.26953125" bestFit="1" customWidth="1"/>
    <col min="6" max="6" width="15.26953125" bestFit="1" customWidth="1"/>
    <col min="7" max="7" width="7.7265625" bestFit="1" customWidth="1"/>
    <col min="8" max="8" width="18" bestFit="1" customWidth="1"/>
    <col min="9" max="9" width="21.81640625" style="26" bestFit="1" customWidth="1"/>
    <col min="10" max="10" width="1.81640625" style="26" bestFit="1" customWidth="1"/>
    <col min="11" max="11" width="20.54296875" bestFit="1" customWidth="1"/>
    <col min="12" max="12" width="2" bestFit="1" customWidth="1"/>
    <col min="13" max="13" width="18" bestFit="1" customWidth="1"/>
    <col min="14" max="14" width="2.1796875" customWidth="1"/>
    <col min="15" max="15" width="5.26953125" customWidth="1"/>
    <col min="16" max="16" width="9.1796875" hidden="1" customWidth="1"/>
    <col min="17" max="17" width="2" hidden="1" customWidth="1"/>
    <col min="18" max="18" width="4.7265625" hidden="1" customWidth="1"/>
    <col min="19" max="16384" width="9.1796875" hidden="1"/>
  </cols>
  <sheetData>
    <row r="1" spans="2:14" ht="15" thickBot="1" x14ac:dyDescent="0.4">
      <c r="B1" s="31" t="s">
        <v>259</v>
      </c>
      <c r="J1" s="233" t="s">
        <v>98</v>
      </c>
      <c r="K1" s="234">
        <v>1000</v>
      </c>
    </row>
    <row r="2" spans="2:14" x14ac:dyDescent="0.35">
      <c r="B2" s="4" t="s">
        <v>1</v>
      </c>
      <c r="C2" s="187" t="s">
        <v>254</v>
      </c>
      <c r="D2" s="236" t="s">
        <v>255</v>
      </c>
      <c r="E2" s="236" t="s">
        <v>256</v>
      </c>
      <c r="F2" s="187" t="s">
        <v>248</v>
      </c>
      <c r="G2" s="187" t="s">
        <v>89</v>
      </c>
      <c r="H2" s="187" t="s">
        <v>252</v>
      </c>
      <c r="I2" s="237" t="s">
        <v>261</v>
      </c>
      <c r="J2" s="31" t="s">
        <v>247</v>
      </c>
      <c r="K2" s="31" t="s">
        <v>249</v>
      </c>
      <c r="L2" s="31" t="s">
        <v>247</v>
      </c>
      <c r="M2" s="31" t="s">
        <v>251</v>
      </c>
      <c r="N2" s="31"/>
    </row>
    <row r="3" spans="2:14" x14ac:dyDescent="0.35">
      <c r="B3" s="6"/>
      <c r="C3" s="31"/>
      <c r="D3" s="159"/>
      <c r="E3" s="159"/>
      <c r="F3" s="31"/>
      <c r="G3" s="31"/>
      <c r="H3" s="31" t="s">
        <v>253</v>
      </c>
      <c r="I3" s="238"/>
      <c r="J3" s="31"/>
      <c r="K3" s="31" t="s">
        <v>250</v>
      </c>
      <c r="L3" s="31"/>
      <c r="M3" s="230">
        <v>48</v>
      </c>
      <c r="N3" s="31"/>
    </row>
    <row r="4" spans="2:14" x14ac:dyDescent="0.35">
      <c r="B4" s="9"/>
      <c r="C4">
        <v>1</v>
      </c>
      <c r="D4" s="231">
        <v>1534281</v>
      </c>
      <c r="E4" s="82"/>
      <c r="I4" s="69"/>
      <c r="J4"/>
      <c r="K4">
        <v>1</v>
      </c>
    </row>
    <row r="5" spans="2:14" x14ac:dyDescent="0.35">
      <c r="B5" s="239">
        <f>'M.Shares &amp; Revenue'!G14*1000*$K$1</f>
        <v>201630000</v>
      </c>
      <c r="C5" s="100">
        <f>B5*1.2/1000000</f>
        <v>241.95599999999999</v>
      </c>
      <c r="D5" s="82">
        <f t="shared" ref="D5:D11" si="0">C5*$D$4</f>
        <v>371228493.63599998</v>
      </c>
      <c r="E5" s="82">
        <f t="shared" ref="E5:E11" si="1">H5/$K$1</f>
        <v>371228.49363599997</v>
      </c>
      <c r="F5" s="100">
        <f t="shared" ref="F5:F11" si="2">H5/$M$3</f>
        <v>7733926.9507499998</v>
      </c>
      <c r="H5" s="100">
        <f>D5</f>
        <v>371228493.63599998</v>
      </c>
      <c r="I5" s="69">
        <f t="shared" ref="I5:I11" si="3">ROUNDDOWN((C5/$F$14)*$B$15,0)</f>
        <v>4222</v>
      </c>
      <c r="J5"/>
      <c r="K5">
        <v>1</v>
      </c>
    </row>
    <row r="6" spans="2:14" x14ac:dyDescent="0.35">
      <c r="B6" s="239">
        <f>M.Shars!I75</f>
        <v>19645018.861892138</v>
      </c>
      <c r="C6" s="100">
        <f t="shared" ref="C6:C11" si="4">B6*1.2/1000000</f>
        <v>23.574022634270563</v>
      </c>
      <c r="D6" s="82">
        <f t="shared" si="0"/>
        <v>36169175.021331273</v>
      </c>
      <c r="E6" s="82">
        <f t="shared" si="1"/>
        <v>36169.17502133127</v>
      </c>
      <c r="F6" s="100">
        <f t="shared" si="2"/>
        <v>753524.47961106815</v>
      </c>
      <c r="H6" s="100">
        <f t="shared" ref="H6:H11" si="5">D6</f>
        <v>36169175.021331273</v>
      </c>
      <c r="I6" s="69">
        <f t="shared" si="3"/>
        <v>411</v>
      </c>
      <c r="J6"/>
    </row>
    <row r="7" spans="2:14" x14ac:dyDescent="0.35">
      <c r="B7" s="239" t="e">
        <f>'M.Shares &amp; Revenue'!G35*1000000</f>
        <v>#REF!</v>
      </c>
      <c r="C7" s="100" t="e">
        <f t="shared" si="4"/>
        <v>#REF!</v>
      </c>
      <c r="D7" s="82" t="e">
        <f t="shared" si="0"/>
        <v>#REF!</v>
      </c>
      <c r="E7" s="82" t="e">
        <f t="shared" si="1"/>
        <v>#REF!</v>
      </c>
      <c r="F7" s="100" t="e">
        <f t="shared" si="2"/>
        <v>#REF!</v>
      </c>
      <c r="H7" s="100" t="e">
        <f t="shared" si="5"/>
        <v>#REF!</v>
      </c>
      <c r="I7" s="69" t="e">
        <f t="shared" si="3"/>
        <v>#REF!</v>
      </c>
      <c r="J7"/>
      <c r="K7">
        <v>1</v>
      </c>
    </row>
    <row r="8" spans="2:14" x14ac:dyDescent="0.35">
      <c r="B8" s="239" t="e">
        <f>'M.Shares &amp; Revenue'!O35*1000000</f>
        <v>#REF!</v>
      </c>
      <c r="C8" s="100" t="e">
        <f t="shared" si="4"/>
        <v>#REF!</v>
      </c>
      <c r="D8" s="82" t="e">
        <f t="shared" si="0"/>
        <v>#REF!</v>
      </c>
      <c r="E8" s="82" t="e">
        <f t="shared" si="1"/>
        <v>#REF!</v>
      </c>
      <c r="F8" s="100" t="e">
        <f t="shared" si="2"/>
        <v>#REF!</v>
      </c>
      <c r="H8" s="100" t="e">
        <f t="shared" si="5"/>
        <v>#REF!</v>
      </c>
      <c r="I8" s="69" t="e">
        <f t="shared" si="3"/>
        <v>#REF!</v>
      </c>
      <c r="J8"/>
      <c r="K8">
        <v>1</v>
      </c>
    </row>
    <row r="9" spans="2:14" x14ac:dyDescent="0.35">
      <c r="B9" s="239" t="e">
        <f>'M.Shares &amp; Revenue'!G48*1000000</f>
        <v>#REF!</v>
      </c>
      <c r="C9" s="100" t="e">
        <f t="shared" si="4"/>
        <v>#REF!</v>
      </c>
      <c r="D9" s="82" t="e">
        <f t="shared" si="0"/>
        <v>#REF!</v>
      </c>
      <c r="E9" s="82" t="e">
        <f t="shared" si="1"/>
        <v>#REF!</v>
      </c>
      <c r="F9" s="100" t="e">
        <f t="shared" si="2"/>
        <v>#REF!</v>
      </c>
      <c r="H9" s="100" t="e">
        <f t="shared" si="5"/>
        <v>#REF!</v>
      </c>
      <c r="I9" s="69" t="e">
        <f t="shared" si="3"/>
        <v>#REF!</v>
      </c>
      <c r="J9"/>
      <c r="K9">
        <v>1</v>
      </c>
    </row>
    <row r="10" spans="2:14" x14ac:dyDescent="0.35">
      <c r="B10" s="239" t="e">
        <f>'M.Shares &amp; Revenue'!O48*1000000</f>
        <v>#REF!</v>
      </c>
      <c r="C10" s="100" t="e">
        <f t="shared" si="4"/>
        <v>#REF!</v>
      </c>
      <c r="D10" s="82" t="e">
        <f t="shared" si="0"/>
        <v>#REF!</v>
      </c>
      <c r="E10" s="82" t="e">
        <f t="shared" si="1"/>
        <v>#REF!</v>
      </c>
      <c r="F10" s="100" t="e">
        <f t="shared" si="2"/>
        <v>#REF!</v>
      </c>
      <c r="H10" s="100" t="e">
        <f t="shared" si="5"/>
        <v>#REF!</v>
      </c>
      <c r="I10" s="69" t="e">
        <f t="shared" si="3"/>
        <v>#REF!</v>
      </c>
      <c r="J10"/>
      <c r="K10">
        <v>1</v>
      </c>
    </row>
    <row r="11" spans="2:14" ht="15" thickBot="1" x14ac:dyDescent="0.4">
      <c r="B11" s="240" t="e">
        <f>'M.Shares &amp; Revenue'!G62*1000000</f>
        <v>#REF!</v>
      </c>
      <c r="C11" s="241" t="e">
        <f t="shared" si="4"/>
        <v>#REF!</v>
      </c>
      <c r="D11" s="90" t="e">
        <f t="shared" si="0"/>
        <v>#REF!</v>
      </c>
      <c r="E11" s="90" t="e">
        <f t="shared" si="1"/>
        <v>#REF!</v>
      </c>
      <c r="F11" s="241" t="e">
        <f t="shared" si="2"/>
        <v>#REF!</v>
      </c>
      <c r="G11" s="28"/>
      <c r="H11" s="241" t="e">
        <f t="shared" si="5"/>
        <v>#REF!</v>
      </c>
      <c r="I11" s="131" t="e">
        <f t="shared" si="3"/>
        <v>#REF!</v>
      </c>
      <c r="J11"/>
      <c r="K11">
        <v>1</v>
      </c>
    </row>
    <row r="12" spans="2:14" x14ac:dyDescent="0.35">
      <c r="J12"/>
      <c r="K12">
        <v>1</v>
      </c>
    </row>
    <row r="13" spans="2:14" x14ac:dyDescent="0.35">
      <c r="B13" s="31" t="s">
        <v>258</v>
      </c>
      <c r="J13"/>
      <c r="K13">
        <v>1</v>
      </c>
    </row>
    <row r="14" spans="2:14" x14ac:dyDescent="0.35">
      <c r="B14">
        <v>89</v>
      </c>
      <c r="C14" s="235" t="s">
        <v>260</v>
      </c>
      <c r="D14" s="165">
        <v>260</v>
      </c>
      <c r="E14" t="s">
        <v>262</v>
      </c>
      <c r="F14" s="165">
        <v>10</v>
      </c>
      <c r="G14" t="s">
        <v>254</v>
      </c>
      <c r="J14"/>
      <c r="K14">
        <v>1</v>
      </c>
    </row>
    <row r="15" spans="2:14" x14ac:dyDescent="0.35">
      <c r="B15">
        <f>(D14+B14)/2</f>
        <v>174.5</v>
      </c>
      <c r="C15" t="s">
        <v>148</v>
      </c>
      <c r="J15"/>
      <c r="K15">
        <v>1</v>
      </c>
    </row>
    <row r="16" spans="2:14" ht="14.25" customHeight="1" x14ac:dyDescent="0.35"/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2DDDB-8B8C-4C43-A2A0-CCDAF4F4CAC5}">
  <dimension ref="A1:P12"/>
  <sheetViews>
    <sheetView workbookViewId="0">
      <selection activeCell="O13" sqref="O13"/>
    </sheetView>
  </sheetViews>
  <sheetFormatPr defaultRowHeight="14.5" x14ac:dyDescent="0.35"/>
  <cols>
    <col min="3" max="3" width="11.54296875" bestFit="1" customWidth="1"/>
    <col min="7" max="7" width="11.54296875" customWidth="1"/>
    <col min="14" max="14" width="13.54296875" bestFit="1" customWidth="1"/>
  </cols>
  <sheetData>
    <row r="1" spans="1:16" x14ac:dyDescent="0.35">
      <c r="A1">
        <v>1</v>
      </c>
      <c r="B1" t="s">
        <v>88</v>
      </c>
      <c r="C1" t="s">
        <v>89</v>
      </c>
      <c r="D1">
        <v>1E-3</v>
      </c>
      <c r="E1" t="s">
        <v>90</v>
      </c>
      <c r="G1" t="s">
        <v>3</v>
      </c>
      <c r="H1" t="s">
        <v>4</v>
      </c>
      <c r="I1" t="s">
        <v>5</v>
      </c>
      <c r="M1" t="s">
        <v>120</v>
      </c>
      <c r="N1" t="s">
        <v>95</v>
      </c>
      <c r="O1" t="s">
        <v>6</v>
      </c>
      <c r="P1" t="s">
        <v>121</v>
      </c>
    </row>
    <row r="2" spans="1:16" ht="19" x14ac:dyDescent="0.4">
      <c r="A2">
        <v>1</v>
      </c>
      <c r="B2" t="s">
        <v>91</v>
      </c>
      <c r="C2" t="s">
        <v>89</v>
      </c>
      <c r="D2">
        <v>0.27777800000000002</v>
      </c>
      <c r="E2" t="s">
        <v>92</v>
      </c>
      <c r="G2" s="3">
        <v>8760</v>
      </c>
      <c r="H2">
        <v>189</v>
      </c>
      <c r="I2">
        <f>H2/G2</f>
        <v>2.1575342465753426E-2</v>
      </c>
      <c r="L2" t="s">
        <v>118</v>
      </c>
      <c r="M2">
        <v>282</v>
      </c>
      <c r="N2">
        <f>M2/$G$2</f>
        <v>3.2191780821917808E-2</v>
      </c>
      <c r="O2">
        <f>N2*1000</f>
        <v>32.19178082191781</v>
      </c>
    </row>
    <row r="3" spans="1:16" x14ac:dyDescent="0.35">
      <c r="A3">
        <v>1</v>
      </c>
      <c r="B3" t="s">
        <v>115</v>
      </c>
      <c r="C3" t="s">
        <v>89</v>
      </c>
      <c r="D3">
        <v>1.163E-2</v>
      </c>
      <c r="E3" t="s">
        <v>12</v>
      </c>
      <c r="L3" t="s">
        <v>119</v>
      </c>
      <c r="M3">
        <v>294</v>
      </c>
      <c r="O3">
        <f>P3/365/5</f>
        <v>13.851753259755711</v>
      </c>
      <c r="P3">
        <f>M3/D3</f>
        <v>25279.44969905417</v>
      </c>
    </row>
    <row r="4" spans="1:16" x14ac:dyDescent="0.35">
      <c r="C4" s="54"/>
    </row>
    <row r="11" spans="1:16" x14ac:dyDescent="0.35">
      <c r="M11" t="s">
        <v>125</v>
      </c>
      <c r="N11" t="s">
        <v>126</v>
      </c>
      <c r="O11" t="s">
        <v>127</v>
      </c>
    </row>
    <row r="12" spans="1:16" x14ac:dyDescent="0.35">
      <c r="L12" t="s">
        <v>124</v>
      </c>
      <c r="M12">
        <v>13</v>
      </c>
      <c r="N12">
        <v>1.1399999999999999</v>
      </c>
      <c r="O12">
        <f>100*1.14/13</f>
        <v>8.7692307692307683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5F329-6835-49AA-A1F6-DE4122841DD1}">
  <dimension ref="A1:M28"/>
  <sheetViews>
    <sheetView topLeftCell="A10" zoomScale="81" zoomScaleNormal="70" workbookViewId="0">
      <selection activeCell="M11" sqref="M11"/>
    </sheetView>
  </sheetViews>
  <sheetFormatPr defaultColWidth="0" defaultRowHeight="14.5" x14ac:dyDescent="0.35"/>
  <cols>
    <col min="1" max="1" width="6.36328125" customWidth="1"/>
    <col min="2" max="2" width="15.1796875" customWidth="1"/>
    <col min="3" max="3" width="16.08984375" style="26" customWidth="1"/>
    <col min="4" max="4" width="13.26953125" style="26" customWidth="1"/>
    <col min="5" max="5" width="10.453125" customWidth="1"/>
    <col min="6" max="11" width="11.54296875" bestFit="1" customWidth="1"/>
    <col min="12" max="12" width="12.36328125" customWidth="1"/>
    <col min="13" max="13" width="6.81640625" customWidth="1"/>
    <col min="14" max="16384" width="9.1796875" hidden="1"/>
  </cols>
  <sheetData>
    <row r="1" spans="1:12" x14ac:dyDescent="0.35">
      <c r="A1" s="31"/>
    </row>
    <row r="2" spans="1:12" ht="15" thickBot="1" x14ac:dyDescent="0.4">
      <c r="B2" s="31" t="s">
        <v>160</v>
      </c>
      <c r="E2" s="1"/>
      <c r="K2" s="154" t="s">
        <v>98</v>
      </c>
      <c r="L2" s="155">
        <v>1000</v>
      </c>
    </row>
    <row r="3" spans="1:12" x14ac:dyDescent="0.35">
      <c r="B3" s="84"/>
      <c r="C3" s="89" t="s">
        <v>176</v>
      </c>
      <c r="D3" s="89" t="s">
        <v>216</v>
      </c>
      <c r="E3" s="87" t="s">
        <v>443</v>
      </c>
      <c r="F3" s="360" t="s">
        <v>163</v>
      </c>
      <c r="G3" s="361"/>
      <c r="H3" s="361"/>
      <c r="I3" s="361"/>
      <c r="J3" s="361"/>
      <c r="K3" s="361"/>
      <c r="L3" s="362"/>
    </row>
    <row r="4" spans="1:12" ht="15" thickBot="1" x14ac:dyDescent="0.4">
      <c r="B4" s="9"/>
      <c r="C4" s="82" t="s">
        <v>6</v>
      </c>
      <c r="D4" s="82" t="s">
        <v>102</v>
      </c>
      <c r="E4" s="30" t="s">
        <v>164</v>
      </c>
      <c r="F4" s="86" t="s">
        <v>149</v>
      </c>
      <c r="G4" s="28" t="s">
        <v>80</v>
      </c>
      <c r="H4" s="28" t="s">
        <v>81</v>
      </c>
      <c r="I4" s="28" t="s">
        <v>84</v>
      </c>
      <c r="J4" s="28" t="s">
        <v>85</v>
      </c>
      <c r="K4" s="28" t="s">
        <v>86</v>
      </c>
      <c r="L4" s="91" t="s">
        <v>165</v>
      </c>
    </row>
    <row r="5" spans="1:12" x14ac:dyDescent="0.35">
      <c r="B5" s="9" t="s">
        <v>273</v>
      </c>
      <c r="C5" s="82">
        <f>'Global Market'!C25/L2/5</f>
        <v>10.34</v>
      </c>
      <c r="D5" s="82">
        <f>C5*Financials!T10</f>
        <v>6.7210000000000001</v>
      </c>
      <c r="E5" s="30">
        <v>0.1</v>
      </c>
      <c r="F5" s="100">
        <f>D5*L2</f>
        <v>6721</v>
      </c>
      <c r="G5" s="250">
        <f>F5*(1+$E$5)</f>
        <v>7393.1</v>
      </c>
      <c r="H5" s="250">
        <f t="shared" ref="H5:L5" si="0">G5*(1+$E$5)</f>
        <v>8132.4100000000008</v>
      </c>
      <c r="I5" s="250">
        <f t="shared" si="0"/>
        <v>8945.6510000000017</v>
      </c>
      <c r="J5" s="250">
        <f t="shared" si="0"/>
        <v>9840.2161000000033</v>
      </c>
      <c r="K5" s="250">
        <f t="shared" si="0"/>
        <v>10824.237710000005</v>
      </c>
      <c r="L5" s="250">
        <f t="shared" si="0"/>
        <v>11906.661481000006</v>
      </c>
    </row>
    <row r="6" spans="1:12" x14ac:dyDescent="0.35">
      <c r="B6" s="64" t="s">
        <v>35</v>
      </c>
      <c r="C6" s="82">
        <f>'Global Market'!Q12</f>
        <v>11.770000000000001</v>
      </c>
      <c r="D6" s="82">
        <f>'Global Market'!D66/L2</f>
        <v>217.08829999999998</v>
      </c>
      <c r="E6" s="30">
        <v>0.08</v>
      </c>
      <c r="F6" s="153">
        <f>(D6)*1000</f>
        <v>217088.3</v>
      </c>
      <c r="G6" s="250">
        <f>F6*(1+$E$6)</f>
        <v>234455.364</v>
      </c>
      <c r="H6" s="250">
        <f t="shared" ref="H6:L6" si="1">G6*(1+$E$6)</f>
        <v>253211.79312000002</v>
      </c>
      <c r="I6" s="250">
        <f t="shared" si="1"/>
        <v>273468.73656960006</v>
      </c>
      <c r="J6" s="250">
        <f t="shared" si="1"/>
        <v>295346.23549516808</v>
      </c>
      <c r="K6" s="250">
        <f t="shared" si="1"/>
        <v>318973.93433478154</v>
      </c>
      <c r="L6" s="250">
        <f t="shared" si="1"/>
        <v>344491.84908156411</v>
      </c>
    </row>
    <row r="7" spans="1:12" ht="17.25" customHeight="1" x14ac:dyDescent="0.35">
      <c r="B7" s="63" t="s">
        <v>289</v>
      </c>
      <c r="C7" s="82">
        <f>'Global Market'!Q4+'Global Market'!Q5</f>
        <v>44.61571428571429</v>
      </c>
      <c r="D7" s="82">
        <f>C7*0.85</f>
        <v>37.923357142857142</v>
      </c>
      <c r="E7" s="30">
        <v>0.05</v>
      </c>
      <c r="F7" s="153">
        <f t="shared" ref="F7:F12" si="2">(D7)*1000</f>
        <v>37923.357142857145</v>
      </c>
      <c r="G7" s="250">
        <f>F7*(1+$E$7)</f>
        <v>39819.525000000001</v>
      </c>
      <c r="H7" s="250">
        <f t="shared" ref="H7:L7" si="3">G7*(1+$E$7)</f>
        <v>41810.501250000001</v>
      </c>
      <c r="I7" s="250">
        <f t="shared" si="3"/>
        <v>43901.026312500006</v>
      </c>
      <c r="J7" s="250">
        <f t="shared" si="3"/>
        <v>46096.077628125007</v>
      </c>
      <c r="K7" s="250">
        <f t="shared" si="3"/>
        <v>48400.88150953126</v>
      </c>
      <c r="L7" s="250">
        <f t="shared" si="3"/>
        <v>50820.925585007826</v>
      </c>
    </row>
    <row r="8" spans="1:12" x14ac:dyDescent="0.35">
      <c r="B8" s="64" t="s">
        <v>58</v>
      </c>
      <c r="C8" s="82">
        <f>'Global Market'!Q6</f>
        <v>192.36363636363635</v>
      </c>
      <c r="D8" s="82">
        <f t="shared" ref="D8:D12" si="4">C8*0.85</f>
        <v>163.5090909090909</v>
      </c>
      <c r="E8" s="30">
        <v>0.05</v>
      </c>
      <c r="F8" s="153">
        <f t="shared" si="2"/>
        <v>163509.09090909091</v>
      </c>
      <c r="G8" s="250">
        <f>F8*(1+$E$8)</f>
        <v>171684.54545454547</v>
      </c>
      <c r="H8" s="250">
        <f t="shared" ref="H8:L8" si="5">G8*(1+$E$8)</f>
        <v>180268.77272727276</v>
      </c>
      <c r="I8" s="250">
        <f t="shared" si="5"/>
        <v>189282.21136363642</v>
      </c>
      <c r="J8" s="250">
        <f t="shared" si="5"/>
        <v>198746.32193181824</v>
      </c>
      <c r="K8" s="250">
        <f t="shared" si="5"/>
        <v>208683.63802840916</v>
      </c>
      <c r="L8" s="250">
        <f t="shared" si="5"/>
        <v>219117.81992982962</v>
      </c>
    </row>
    <row r="9" spans="1:12" x14ac:dyDescent="0.35">
      <c r="B9" s="64" t="s">
        <v>62</v>
      </c>
      <c r="C9" s="82">
        <f>'Global Market'!Q7</f>
        <v>6.0714285714285712</v>
      </c>
      <c r="D9" s="82">
        <f t="shared" si="4"/>
        <v>5.1607142857142856</v>
      </c>
      <c r="E9" s="30">
        <v>0.05</v>
      </c>
      <c r="F9" s="153">
        <f t="shared" si="2"/>
        <v>5160.7142857142853</v>
      </c>
      <c r="G9" s="250">
        <f>F9*(1+$E$9)</f>
        <v>5418.75</v>
      </c>
      <c r="H9" s="250">
        <f t="shared" ref="H9:L9" si="6">G9*(1+$E$9)</f>
        <v>5689.6875</v>
      </c>
      <c r="I9" s="250">
        <f t="shared" si="6"/>
        <v>5974.171875</v>
      </c>
      <c r="J9" s="250">
        <f t="shared" si="6"/>
        <v>6272.8804687500005</v>
      </c>
      <c r="K9" s="250">
        <f t="shared" si="6"/>
        <v>6586.524492187501</v>
      </c>
      <c r="L9" s="250">
        <f t="shared" si="6"/>
        <v>6915.8507167968764</v>
      </c>
    </row>
    <row r="10" spans="1:12" x14ac:dyDescent="0.35">
      <c r="B10" s="64" t="s">
        <v>204</v>
      </c>
      <c r="C10" s="82">
        <f>'Global Market'!Q8</f>
        <v>52.3</v>
      </c>
      <c r="D10" s="82">
        <f t="shared" si="4"/>
        <v>44.454999999999998</v>
      </c>
      <c r="E10" s="30">
        <f t="shared" ref="E10:E12" si="7">E9</f>
        <v>0.05</v>
      </c>
      <c r="F10" s="153">
        <f t="shared" si="2"/>
        <v>44455</v>
      </c>
      <c r="G10" s="250">
        <f>F10*(1+$E$10)</f>
        <v>46677.75</v>
      </c>
      <c r="H10" s="250">
        <f t="shared" ref="H10:L10" si="8">G10*(1+$E$10)</f>
        <v>49011.637500000004</v>
      </c>
      <c r="I10" s="250">
        <f t="shared" si="8"/>
        <v>51462.219375000008</v>
      </c>
      <c r="J10" s="250">
        <f t="shared" si="8"/>
        <v>54035.330343750007</v>
      </c>
      <c r="K10" s="250">
        <f t="shared" si="8"/>
        <v>56737.096860937512</v>
      </c>
      <c r="L10" s="250">
        <f t="shared" si="8"/>
        <v>59573.951703984392</v>
      </c>
    </row>
    <row r="11" spans="1:12" x14ac:dyDescent="0.35">
      <c r="B11" s="64" t="s">
        <v>207</v>
      </c>
      <c r="C11" s="82">
        <f>'Global Market'!Q9</f>
        <v>2.4</v>
      </c>
      <c r="D11" s="82">
        <f t="shared" si="4"/>
        <v>2.04</v>
      </c>
      <c r="E11" s="30">
        <f t="shared" si="7"/>
        <v>0.05</v>
      </c>
      <c r="F11" s="153">
        <f t="shared" si="2"/>
        <v>2040</v>
      </c>
      <c r="G11" s="250">
        <f>F11*(1+$E$11)</f>
        <v>2142</v>
      </c>
      <c r="H11" s="250">
        <f t="shared" ref="H11:L11" si="9">G11*(1+$E$11)</f>
        <v>2249.1</v>
      </c>
      <c r="I11" s="250">
        <f t="shared" si="9"/>
        <v>2361.5549999999998</v>
      </c>
      <c r="J11" s="250">
        <f t="shared" si="9"/>
        <v>2479.6327499999998</v>
      </c>
      <c r="K11" s="250">
        <f t="shared" si="9"/>
        <v>2603.6143874999998</v>
      </c>
      <c r="L11" s="250">
        <f t="shared" si="9"/>
        <v>2733.7951068749999</v>
      </c>
    </row>
    <row r="12" spans="1:12" x14ac:dyDescent="0.35">
      <c r="B12" s="64" t="s">
        <v>212</v>
      </c>
      <c r="C12" s="82">
        <f>'Global Market'!Q19</f>
        <v>188.89200000000002</v>
      </c>
      <c r="D12" s="82">
        <f t="shared" si="4"/>
        <v>160.55820000000003</v>
      </c>
      <c r="E12" s="30">
        <f t="shared" si="7"/>
        <v>0.05</v>
      </c>
      <c r="F12" s="153">
        <f t="shared" si="2"/>
        <v>160558.20000000004</v>
      </c>
      <c r="G12" s="250">
        <f>F12*(1+$E$12)</f>
        <v>168586.11000000004</v>
      </c>
      <c r="H12" s="250">
        <f t="shared" ref="H12:L12" si="10">G12*(1+$E$12)</f>
        <v>177015.41550000006</v>
      </c>
      <c r="I12" s="250">
        <f t="shared" si="10"/>
        <v>185866.18627500007</v>
      </c>
      <c r="J12" s="250">
        <f t="shared" si="10"/>
        <v>195159.49558875008</v>
      </c>
      <c r="K12" s="250">
        <f t="shared" si="10"/>
        <v>204917.47036818758</v>
      </c>
      <c r="L12" s="250">
        <f t="shared" si="10"/>
        <v>215163.34388659697</v>
      </c>
    </row>
    <row r="13" spans="1:12" ht="15" thickBot="1" x14ac:dyDescent="0.4">
      <c r="B13" s="85" t="s">
        <v>233</v>
      </c>
      <c r="C13" s="90">
        <f>SUM(C7:C12)</f>
        <v>486.64277922077918</v>
      </c>
      <c r="D13" s="90"/>
      <c r="E13" s="88"/>
      <c r="F13" s="90">
        <f>SUM(F5:F12)</f>
        <v>637455.6623376623</v>
      </c>
      <c r="G13" s="90">
        <f t="shared" ref="G13:L13" si="11">SUM(G5:G12)</f>
        <v>676177.14445454557</v>
      </c>
      <c r="H13" s="90">
        <f t="shared" si="11"/>
        <v>717389.31759727281</v>
      </c>
      <c r="I13" s="90">
        <f t="shared" si="11"/>
        <v>761261.7577707367</v>
      </c>
      <c r="J13" s="90">
        <f t="shared" si="11"/>
        <v>807976.19030636142</v>
      </c>
      <c r="K13" s="90">
        <f t="shared" si="11"/>
        <v>857727.3976915346</v>
      </c>
      <c r="L13" s="90">
        <f t="shared" si="11"/>
        <v>910724.19749165478</v>
      </c>
    </row>
    <row r="14" spans="1:12" x14ac:dyDescent="0.35">
      <c r="B14" s="254"/>
      <c r="C14" s="82"/>
      <c r="D14" s="82"/>
      <c r="E14" s="30"/>
      <c r="F14" s="82"/>
      <c r="G14" s="82"/>
      <c r="H14" s="82"/>
      <c r="I14" s="82"/>
      <c r="J14" s="82"/>
      <c r="K14" s="82"/>
      <c r="L14" s="82"/>
    </row>
    <row r="15" spans="1:12" x14ac:dyDescent="0.35">
      <c r="B15" s="254"/>
      <c r="C15" s="82"/>
      <c r="D15" s="82" t="s">
        <v>427</v>
      </c>
      <c r="E15" s="30"/>
      <c r="F15" s="292">
        <f>'SOM M.Shares &amp; Rev'!E27</f>
        <v>0.5</v>
      </c>
      <c r="G15" s="82" t="s">
        <v>283</v>
      </c>
      <c r="H15" s="82"/>
      <c r="I15" s="82"/>
      <c r="J15" s="82"/>
      <c r="K15" s="82"/>
      <c r="L15" s="82"/>
    </row>
    <row r="16" spans="1:12" ht="15" thickBot="1" x14ac:dyDescent="0.4">
      <c r="B16" s="31" t="s">
        <v>282</v>
      </c>
      <c r="D16" s="26" t="s">
        <v>425</v>
      </c>
      <c r="E16" s="255"/>
      <c r="F16" s="255">
        <f>'SOM M.Shares &amp; Rev'!G27</f>
        <v>0.05</v>
      </c>
      <c r="G16" t="s">
        <v>428</v>
      </c>
      <c r="K16" s="154" t="s">
        <v>98</v>
      </c>
      <c r="L16" s="155">
        <v>1000</v>
      </c>
    </row>
    <row r="17" spans="2:12" x14ac:dyDescent="0.35">
      <c r="B17" s="84"/>
      <c r="C17" s="89" t="s">
        <v>176</v>
      </c>
      <c r="D17" s="89" t="s">
        <v>216</v>
      </c>
      <c r="E17" s="312" t="s">
        <v>443</v>
      </c>
      <c r="F17" s="360" t="s">
        <v>429</v>
      </c>
      <c r="G17" s="361"/>
      <c r="H17" s="361"/>
      <c r="I17" s="361"/>
      <c r="J17" s="361"/>
      <c r="K17" s="361"/>
      <c r="L17" s="362"/>
    </row>
    <row r="18" spans="2:12" ht="15" thickBot="1" x14ac:dyDescent="0.4">
      <c r="B18" s="86"/>
      <c r="C18" s="90" t="s">
        <v>6</v>
      </c>
      <c r="D18" s="90" t="s">
        <v>102</v>
      </c>
      <c r="E18" s="220" t="s">
        <v>164</v>
      </c>
      <c r="F18" s="86" t="s">
        <v>149</v>
      </c>
      <c r="G18" s="28" t="s">
        <v>80</v>
      </c>
      <c r="H18" s="28" t="s">
        <v>81</v>
      </c>
      <c r="I18" s="28" t="s">
        <v>84</v>
      </c>
      <c r="J18" s="28" t="s">
        <v>85</v>
      </c>
      <c r="K18" s="28" t="s">
        <v>86</v>
      </c>
      <c r="L18" s="91" t="s">
        <v>165</v>
      </c>
    </row>
    <row r="19" spans="2:12" x14ac:dyDescent="0.35">
      <c r="B19" s="9" t="s">
        <v>273</v>
      </c>
      <c r="C19" s="82">
        <f>C5*$F$16*F15</f>
        <v>0.25850000000000001</v>
      </c>
      <c r="D19" s="82">
        <f>C19*Financials!$T$10</f>
        <v>0.16802500000000001</v>
      </c>
      <c r="E19" s="312">
        <v>0.08</v>
      </c>
      <c r="F19" s="100">
        <f>D19*L16</f>
        <v>168.02500000000001</v>
      </c>
      <c r="G19" s="250">
        <f>F19*(1+$E$5)</f>
        <v>184.82750000000001</v>
      </c>
      <c r="H19" s="250">
        <f t="shared" ref="H19:L19" si="12">G19*(1+$E$5)</f>
        <v>203.31025000000002</v>
      </c>
      <c r="I19" s="250">
        <f t="shared" si="12"/>
        <v>223.64127500000004</v>
      </c>
      <c r="J19" s="250">
        <f t="shared" si="12"/>
        <v>246.00540250000006</v>
      </c>
      <c r="K19" s="250">
        <f t="shared" si="12"/>
        <v>270.60594275000011</v>
      </c>
      <c r="L19" s="219">
        <f t="shared" si="12"/>
        <v>297.66653702500014</v>
      </c>
    </row>
    <row r="20" spans="2:12" x14ac:dyDescent="0.35">
      <c r="B20" s="64" t="s">
        <v>35</v>
      </c>
      <c r="C20" s="82">
        <f t="shared" ref="C20:C26" si="13">C6*$F$16</f>
        <v>0.58850000000000013</v>
      </c>
      <c r="D20" s="82">
        <f>C20*Financials!$T$10</f>
        <v>0.38252500000000011</v>
      </c>
      <c r="E20" s="185">
        <v>0.08</v>
      </c>
      <c r="F20" s="246">
        <f>(D20)*1000</f>
        <v>382.52500000000009</v>
      </c>
      <c r="G20" s="250">
        <f>F20*(1+$E$6)</f>
        <v>413.12700000000012</v>
      </c>
      <c r="H20" s="250">
        <f t="shared" ref="H20:L20" si="14">G20*(1+$E$6)</f>
        <v>446.17716000000019</v>
      </c>
      <c r="I20" s="250">
        <f t="shared" si="14"/>
        <v>481.87133280000023</v>
      </c>
      <c r="J20" s="250">
        <f t="shared" si="14"/>
        <v>520.42103942400024</v>
      </c>
      <c r="K20" s="250">
        <f t="shared" si="14"/>
        <v>562.0547225779203</v>
      </c>
      <c r="L20" s="219">
        <f t="shared" si="14"/>
        <v>607.01910038415394</v>
      </c>
    </row>
    <row r="21" spans="2:12" ht="17.25" customHeight="1" x14ac:dyDescent="0.35">
      <c r="B21" s="63" t="s">
        <v>288</v>
      </c>
      <c r="C21" s="82">
        <f t="shared" si="13"/>
        <v>2.2307857142857146</v>
      </c>
      <c r="D21" s="82">
        <f>C21*Financials!$T$10</f>
        <v>1.4500107142857146</v>
      </c>
      <c r="E21" s="185">
        <v>0.05</v>
      </c>
      <c r="F21" s="246">
        <f t="shared" ref="F21:F26" si="15">(D21)*1000</f>
        <v>1450.0107142857146</v>
      </c>
      <c r="G21" s="250">
        <f>F21*(1+$E$7)</f>
        <v>1522.5112500000005</v>
      </c>
      <c r="H21" s="250">
        <f t="shared" ref="H21:L21" si="16">G21*(1+$E$7)</f>
        <v>1598.6368125000006</v>
      </c>
      <c r="I21" s="250">
        <f t="shared" si="16"/>
        <v>1678.5686531250008</v>
      </c>
      <c r="J21" s="250">
        <f t="shared" si="16"/>
        <v>1762.4970857812509</v>
      </c>
      <c r="K21" s="250">
        <f t="shared" si="16"/>
        <v>1850.6219400703135</v>
      </c>
      <c r="L21" s="219">
        <f t="shared" si="16"/>
        <v>1943.1530370738292</v>
      </c>
    </row>
    <row r="22" spans="2:12" x14ac:dyDescent="0.35">
      <c r="B22" s="64" t="s">
        <v>58</v>
      </c>
      <c r="C22" s="82">
        <f t="shared" si="13"/>
        <v>9.6181818181818173</v>
      </c>
      <c r="D22" s="82">
        <f>C22*Financials!$T$10</f>
        <v>6.2518181818181811</v>
      </c>
      <c r="E22" s="185">
        <f>E20</f>
        <v>0.08</v>
      </c>
      <c r="F22" s="246">
        <f t="shared" si="15"/>
        <v>6251.8181818181811</v>
      </c>
      <c r="G22" s="250">
        <f>F22*(1+$E$9)</f>
        <v>6564.4090909090901</v>
      </c>
      <c r="H22" s="250">
        <f t="shared" ref="H22:L22" si="17">G22*(1+$E$9)</f>
        <v>6892.6295454545452</v>
      </c>
      <c r="I22" s="250">
        <f t="shared" si="17"/>
        <v>7237.2610227272726</v>
      </c>
      <c r="J22" s="250">
        <f t="shared" si="17"/>
        <v>7599.1240738636361</v>
      </c>
      <c r="K22" s="250">
        <f t="shared" si="17"/>
        <v>7979.0802775568181</v>
      </c>
      <c r="L22" s="219">
        <f t="shared" si="17"/>
        <v>8378.0342914346602</v>
      </c>
    </row>
    <row r="23" spans="2:12" x14ac:dyDescent="0.35">
      <c r="B23" s="64" t="s">
        <v>62</v>
      </c>
      <c r="C23" s="82">
        <f t="shared" si="13"/>
        <v>0.3035714285714286</v>
      </c>
      <c r="D23" s="82">
        <f>C23*Financials!$T$10</f>
        <v>0.19732142857142859</v>
      </c>
      <c r="E23" s="185">
        <v>0.05</v>
      </c>
      <c r="F23" s="246">
        <f t="shared" si="15"/>
        <v>197.32142857142858</v>
      </c>
      <c r="G23" s="250">
        <f>F23*(1+$E$10)</f>
        <v>207.18750000000003</v>
      </c>
      <c r="H23" s="250">
        <f t="shared" ref="H23:L23" si="18">G23*(1+$E$10)</f>
        <v>217.54687500000003</v>
      </c>
      <c r="I23" s="250">
        <f t="shared" si="18"/>
        <v>228.42421875000005</v>
      </c>
      <c r="J23" s="250">
        <f t="shared" si="18"/>
        <v>239.84542968750006</v>
      </c>
      <c r="K23" s="250">
        <f t="shared" si="18"/>
        <v>251.83770117187507</v>
      </c>
      <c r="L23" s="219">
        <f t="shared" si="18"/>
        <v>264.42958623046883</v>
      </c>
    </row>
    <row r="24" spans="2:12" x14ac:dyDescent="0.35">
      <c r="B24" s="64" t="s">
        <v>204</v>
      </c>
      <c r="C24" s="82">
        <f t="shared" si="13"/>
        <v>2.6150000000000002</v>
      </c>
      <c r="D24" s="82">
        <f>C24*Financials!$T$10</f>
        <v>1.6997500000000001</v>
      </c>
      <c r="E24" s="185">
        <f t="shared" ref="E24:E26" si="19">E23</f>
        <v>0.05</v>
      </c>
      <c r="F24" s="246">
        <f t="shared" si="15"/>
        <v>1699.75</v>
      </c>
      <c r="G24" s="250">
        <f>F24*(1+$E$11)</f>
        <v>1784.7375000000002</v>
      </c>
      <c r="H24" s="250">
        <f t="shared" ref="H24:L24" si="20">G24*(1+$E$11)</f>
        <v>1873.9743750000002</v>
      </c>
      <c r="I24" s="250">
        <f t="shared" si="20"/>
        <v>1967.6730937500004</v>
      </c>
      <c r="J24" s="250">
        <f t="shared" si="20"/>
        <v>2066.0567484375006</v>
      </c>
      <c r="K24" s="250">
        <f t="shared" si="20"/>
        <v>2169.3595858593758</v>
      </c>
      <c r="L24" s="219">
        <f t="shared" si="20"/>
        <v>2277.8275651523445</v>
      </c>
    </row>
    <row r="25" spans="2:12" x14ac:dyDescent="0.35">
      <c r="B25" s="64" t="s">
        <v>207</v>
      </c>
      <c r="C25" s="82">
        <f t="shared" si="13"/>
        <v>0.12</v>
      </c>
      <c r="D25" s="82">
        <f>C25*Financials!$T$10</f>
        <v>7.8E-2</v>
      </c>
      <c r="E25" s="185">
        <f t="shared" si="19"/>
        <v>0.05</v>
      </c>
      <c r="F25" s="246">
        <f t="shared" si="15"/>
        <v>78</v>
      </c>
      <c r="G25" s="250">
        <f>F25*(1+$E$12)</f>
        <v>81.900000000000006</v>
      </c>
      <c r="H25" s="250">
        <f t="shared" ref="H25:H26" si="21">G25*(1+$E$12)</f>
        <v>85.995000000000005</v>
      </c>
      <c r="I25" s="250">
        <f t="shared" ref="I25" si="22">H25*(1+$E$12)</f>
        <v>90.294750000000008</v>
      </c>
      <c r="J25" s="250">
        <f t="shared" ref="J25:J26" si="23">I25*(1+$E$12)</f>
        <v>94.809487500000017</v>
      </c>
      <c r="K25" s="250">
        <f t="shared" ref="K25:K26" si="24">J25*(1+$E$12)</f>
        <v>99.549961875000022</v>
      </c>
      <c r="L25" s="250">
        <f t="shared" ref="L25:L26" si="25">K25*(1+$E$12)</f>
        <v>104.52745996875002</v>
      </c>
    </row>
    <row r="26" spans="2:12" ht="15" thickBot="1" x14ac:dyDescent="0.4">
      <c r="B26" s="64" t="s">
        <v>212</v>
      </c>
      <c r="C26" s="82">
        <f t="shared" si="13"/>
        <v>9.4446000000000012</v>
      </c>
      <c r="D26" s="82">
        <f>C26*Financials!$T$10</f>
        <v>6.1389900000000006</v>
      </c>
      <c r="E26" s="220">
        <f t="shared" si="19"/>
        <v>0.05</v>
      </c>
      <c r="F26" s="246">
        <f t="shared" si="15"/>
        <v>6138.9900000000007</v>
      </c>
      <c r="G26" s="250">
        <f>F26*(1+$E$12)</f>
        <v>6445.9395000000013</v>
      </c>
      <c r="H26" s="250">
        <f t="shared" si="21"/>
        <v>6768.2364750000015</v>
      </c>
      <c r="I26" s="250">
        <f>H26*(1+$E$12)</f>
        <v>7106.6482987500021</v>
      </c>
      <c r="J26" s="250">
        <f t="shared" si="23"/>
        <v>7461.9807136875024</v>
      </c>
      <c r="K26" s="250">
        <f t="shared" si="24"/>
        <v>7835.0797493718783</v>
      </c>
      <c r="L26" s="250">
        <f t="shared" si="25"/>
        <v>8226.8337368404718</v>
      </c>
    </row>
    <row r="27" spans="2:12" ht="15" thickBot="1" x14ac:dyDescent="0.4">
      <c r="B27" s="308" t="s">
        <v>233</v>
      </c>
      <c r="C27" s="309">
        <f>SUM(C21:C26)</f>
        <v>24.332138961038961</v>
      </c>
      <c r="D27" s="309"/>
      <c r="E27" s="310"/>
      <c r="F27" s="309">
        <f>SUM(F19:F26)</f>
        <v>16366.440324675325</v>
      </c>
      <c r="G27" s="309">
        <f t="shared" ref="G27:L27" si="26">SUM(G19:G26)</f>
        <v>17204.639340909092</v>
      </c>
      <c r="H27" s="309">
        <f t="shared" si="26"/>
        <v>18086.506492954548</v>
      </c>
      <c r="I27" s="309">
        <f t="shared" si="26"/>
        <v>19014.382644902274</v>
      </c>
      <c r="J27" s="309">
        <f t="shared" si="26"/>
        <v>19990.739980881393</v>
      </c>
      <c r="K27" s="309">
        <f t="shared" si="26"/>
        <v>21018.189881233182</v>
      </c>
      <c r="L27" s="311">
        <f t="shared" si="26"/>
        <v>22099.491314109677</v>
      </c>
    </row>
    <row r="28" spans="2:12" ht="18" customHeight="1" x14ac:dyDescent="0.35">
      <c r="C28" s="82"/>
      <c r="D28" s="82"/>
    </row>
  </sheetData>
  <mergeCells count="2">
    <mergeCell ref="F3:L3"/>
    <mergeCell ref="F17:L17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4238-FC3D-4034-92A7-987B1A5080AF}">
  <dimension ref="A1:AK192"/>
  <sheetViews>
    <sheetView topLeftCell="A59" zoomScaleNormal="100" workbookViewId="0">
      <selection activeCell="S104" sqref="S104:Y104"/>
    </sheetView>
  </sheetViews>
  <sheetFormatPr defaultColWidth="0" defaultRowHeight="14.5" zeroHeight="1" x14ac:dyDescent="0.35"/>
  <cols>
    <col min="1" max="1" width="3.54296875" style="35" customWidth="1"/>
    <col min="2" max="2" width="9.26953125" style="29" customWidth="1"/>
    <col min="3" max="3" width="12.1796875" style="38" customWidth="1"/>
    <col min="4" max="4" width="16.1796875" style="50" customWidth="1"/>
    <col min="5" max="5" width="14.6328125" style="38" bestFit="1" customWidth="1"/>
    <col min="6" max="6" width="10.54296875" style="191" bestFit="1" customWidth="1"/>
    <col min="7" max="7" width="9.08984375" customWidth="1"/>
    <col min="8" max="8" width="14.54296875" customWidth="1"/>
    <col min="9" max="9" width="16.453125" style="256" customWidth="1"/>
    <col min="10" max="10" width="5.7265625" customWidth="1"/>
    <col min="11" max="11" width="11.6328125" style="82" customWidth="1"/>
    <col min="12" max="12" width="12.1796875" customWidth="1"/>
    <col min="13" max="13" width="9.6328125" customWidth="1"/>
    <col min="14" max="14" width="8.6328125" style="191" customWidth="1"/>
    <col min="15" max="15" width="10.81640625" customWidth="1"/>
    <col min="16" max="16" width="10.7265625" customWidth="1"/>
    <col min="17" max="17" width="18.36328125" style="296" customWidth="1"/>
    <col min="18" max="18" width="5.26953125" customWidth="1"/>
    <col min="19" max="19" width="10.453125" customWidth="1"/>
    <col min="20" max="20" width="12.08984375" customWidth="1"/>
    <col min="21" max="21" width="6.7265625" style="30" customWidth="1"/>
    <col min="22" max="22" width="8.6328125" customWidth="1"/>
    <col min="23" max="23" width="9" customWidth="1"/>
    <col min="24" max="24" width="7.08984375" customWidth="1"/>
    <col min="25" max="25" width="17.54296875" customWidth="1"/>
    <col min="26" max="26" width="2.453125" customWidth="1"/>
    <col min="27" max="27" width="10.1796875" style="165" customWidth="1"/>
    <col min="28" max="28" width="11.81640625" customWidth="1"/>
    <col min="29" max="29" width="8.36328125" style="30" customWidth="1"/>
    <col min="30" max="31" width="9.1796875" customWidth="1"/>
    <col min="32" max="32" width="7.453125" customWidth="1"/>
    <col min="33" max="33" width="16.54296875" bestFit="1" customWidth="1"/>
    <col min="34" max="34" width="11.08984375" bestFit="1" customWidth="1"/>
    <col min="35" max="36" width="9.1796875" hidden="1" customWidth="1"/>
    <col min="37" max="37" width="0" hidden="1" customWidth="1"/>
    <col min="38" max="16384" width="9.1796875" hidden="1"/>
  </cols>
  <sheetData>
    <row r="1" spans="2:34" ht="30.75" customHeight="1" thickBot="1" x14ac:dyDescent="0.4">
      <c r="B1" s="73" t="s">
        <v>291</v>
      </c>
      <c r="AG1" s="33" t="s">
        <v>287</v>
      </c>
      <c r="AH1" s="262">
        <v>1000</v>
      </c>
    </row>
    <row r="2" spans="2:34" x14ac:dyDescent="0.35">
      <c r="B2" s="74"/>
      <c r="C2" s="363" t="s">
        <v>146</v>
      </c>
      <c r="D2" s="363"/>
      <c r="E2" s="364" t="s">
        <v>150</v>
      </c>
      <c r="F2" s="364"/>
      <c r="G2" s="363" t="s">
        <v>147</v>
      </c>
      <c r="H2" s="365"/>
      <c r="AG2" s="33" t="s">
        <v>286</v>
      </c>
      <c r="AH2" s="262">
        <v>1000000</v>
      </c>
    </row>
    <row r="3" spans="2:34" x14ac:dyDescent="0.35">
      <c r="B3" s="62" t="s">
        <v>142</v>
      </c>
      <c r="C3" s="366">
        <f>Y62</f>
        <v>1577142.5625000002</v>
      </c>
      <c r="D3" s="366"/>
      <c r="E3" s="366">
        <f>I62</f>
        <v>1577142.5625000002</v>
      </c>
      <c r="F3" s="366"/>
      <c r="G3" s="367">
        <f>Y114</f>
        <v>14702.187500000002</v>
      </c>
      <c r="H3" s="367"/>
    </row>
    <row r="4" spans="2:34" ht="16.5" customHeight="1" x14ac:dyDescent="0.35">
      <c r="B4" s="62" t="s">
        <v>149</v>
      </c>
      <c r="C4" s="366">
        <f>AG62</f>
        <v>9097595.0440312512</v>
      </c>
      <c r="D4" s="366"/>
      <c r="E4" s="366">
        <f>Q62</f>
        <v>8187862.2427968755</v>
      </c>
      <c r="F4" s="366"/>
      <c r="G4" s="367">
        <f>AG114</f>
        <v>8684820.5587499999</v>
      </c>
      <c r="H4" s="367"/>
    </row>
    <row r="5" spans="2:34" ht="15.75" customHeight="1" x14ac:dyDescent="0.35">
      <c r="B5" s="62" t="s">
        <v>80</v>
      </c>
      <c r="C5" s="366">
        <f>Y75</f>
        <v>25794935.982110776</v>
      </c>
      <c r="D5" s="366"/>
      <c r="E5" s="366">
        <f>I75</f>
        <v>19645018.861892138</v>
      </c>
      <c r="F5" s="366"/>
      <c r="G5" s="367">
        <f>Y126</f>
        <v>14676216.444542268</v>
      </c>
      <c r="H5" s="367"/>
    </row>
    <row r="6" spans="2:34" ht="15" customHeight="1" x14ac:dyDescent="0.35">
      <c r="B6" s="62" t="s">
        <v>81</v>
      </c>
      <c r="C6" s="366">
        <f>AG75</f>
        <v>38850006.697525807</v>
      </c>
      <c r="D6" s="366"/>
      <c r="E6" s="366">
        <f>Q75</f>
        <v>27073301.294061359</v>
      </c>
      <c r="F6" s="366"/>
      <c r="G6" s="367">
        <f>AG126</f>
        <v>21699635.44252152</v>
      </c>
      <c r="H6" s="367"/>
    </row>
    <row r="7" spans="2:34" x14ac:dyDescent="0.35">
      <c r="B7" s="62" t="s">
        <v>84</v>
      </c>
      <c r="C7" s="366">
        <f>Y88</f>
        <v>63263729.010474779</v>
      </c>
      <c r="D7" s="366"/>
      <c r="E7" s="366">
        <f>I88</f>
        <v>38579511.043106258</v>
      </c>
      <c r="F7" s="366"/>
      <c r="G7" s="367">
        <f>Y138</f>
        <v>29804232.859524153</v>
      </c>
      <c r="H7" s="367"/>
    </row>
    <row r="8" spans="2:34" x14ac:dyDescent="0.35">
      <c r="B8" s="62" t="s">
        <v>85</v>
      </c>
      <c r="C8" s="366">
        <f>AG88</f>
        <v>100758919.41593038</v>
      </c>
      <c r="D8" s="366"/>
      <c r="E8" s="366">
        <f>Q88</f>
        <v>49046257.711119369</v>
      </c>
      <c r="F8" s="366"/>
      <c r="G8" s="367">
        <f>AG138</f>
        <v>42668129.923149042</v>
      </c>
      <c r="H8" s="367"/>
    </row>
    <row r="9" spans="2:34" ht="13.5" customHeight="1" thickBot="1" x14ac:dyDescent="0.4">
      <c r="B9" s="76" t="s">
        <v>86</v>
      </c>
      <c r="C9" s="368">
        <f>Y100</f>
        <v>0</v>
      </c>
      <c r="D9" s="368"/>
      <c r="E9" s="368">
        <f>I102</f>
        <v>82412580.836310521</v>
      </c>
      <c r="F9" s="368"/>
      <c r="G9" s="368">
        <f>Y150</f>
        <v>66314892.939154513</v>
      </c>
      <c r="H9" s="369"/>
    </row>
    <row r="10" spans="2:34" ht="13.5" customHeight="1" x14ac:dyDescent="0.35">
      <c r="B10" s="171"/>
      <c r="C10" s="29"/>
      <c r="D10" s="29"/>
      <c r="E10" s="29"/>
    </row>
    <row r="11" spans="2:34" ht="13.5" customHeight="1" x14ac:dyDescent="0.35">
      <c r="B11" s="171" t="s">
        <v>292</v>
      </c>
      <c r="C11" s="29"/>
      <c r="D11" s="29"/>
      <c r="E11" s="29"/>
    </row>
    <row r="12" spans="2:34" ht="13.5" customHeight="1" x14ac:dyDescent="0.35">
      <c r="B12" s="171"/>
      <c r="C12" s="273"/>
      <c r="D12" s="273"/>
      <c r="E12" s="273" t="s">
        <v>152</v>
      </c>
      <c r="F12" s="324"/>
      <c r="G12" s="273"/>
      <c r="H12" s="273"/>
      <c r="I12" s="273"/>
      <c r="J12" s="273"/>
      <c r="K12" s="273"/>
    </row>
    <row r="13" spans="2:34" ht="13.5" customHeight="1" x14ac:dyDescent="0.35">
      <c r="C13" s="29"/>
      <c r="D13" s="29"/>
      <c r="E13" s="274">
        <v>0</v>
      </c>
      <c r="F13" s="371">
        <v>1</v>
      </c>
      <c r="G13" s="371"/>
      <c r="H13" s="371">
        <v>2</v>
      </c>
      <c r="I13" s="371"/>
      <c r="J13" s="372">
        <v>3</v>
      </c>
      <c r="K13" s="372"/>
      <c r="L13" s="372">
        <v>4</v>
      </c>
      <c r="M13" s="372"/>
      <c r="N13" s="372">
        <v>5</v>
      </c>
      <c r="O13" s="372"/>
      <c r="P13" s="373">
        <v>6</v>
      </c>
      <c r="Q13" s="373"/>
    </row>
    <row r="14" spans="2:34" ht="13.5" customHeight="1" x14ac:dyDescent="0.35">
      <c r="B14" s="275" t="s">
        <v>295</v>
      </c>
      <c r="C14" s="29"/>
      <c r="D14" s="29"/>
      <c r="E14" s="29">
        <f>E3</f>
        <v>1577142.5625000002</v>
      </c>
      <c r="F14" s="374">
        <f>E4</f>
        <v>8187862.2427968755</v>
      </c>
      <c r="G14" s="374"/>
      <c r="H14" s="374">
        <f>E5</f>
        <v>19645018.861892138</v>
      </c>
      <c r="I14" s="374"/>
      <c r="J14" s="374">
        <f>E6</f>
        <v>27073301.294061359</v>
      </c>
      <c r="K14" s="374"/>
      <c r="L14" s="375">
        <f>E7</f>
        <v>38579511.043106258</v>
      </c>
      <c r="M14" s="375"/>
      <c r="N14" s="374">
        <f>E8</f>
        <v>49046257.711119369</v>
      </c>
      <c r="O14" s="374"/>
      <c r="P14" s="370">
        <f>E9</f>
        <v>82412580.836310521</v>
      </c>
      <c r="Q14" s="370"/>
    </row>
    <row r="15" spans="2:34" ht="13.5" customHeight="1" x14ac:dyDescent="0.35">
      <c r="B15" s="275"/>
      <c r="C15" s="29"/>
      <c r="D15" s="29"/>
      <c r="E15" s="29"/>
      <c r="F15" s="325"/>
      <c r="G15" s="294"/>
      <c r="H15" s="294"/>
      <c r="I15" s="294"/>
      <c r="J15" s="294"/>
      <c r="K15" s="294"/>
      <c r="L15" s="272"/>
      <c r="M15" s="272"/>
      <c r="N15" s="325"/>
      <c r="O15" s="294"/>
      <c r="P15" s="295"/>
      <c r="Q15" s="297"/>
    </row>
    <row r="16" spans="2:34" ht="13.5" customHeight="1" x14ac:dyDescent="0.35">
      <c r="B16" s="171" t="s">
        <v>495</v>
      </c>
      <c r="C16" s="29"/>
      <c r="D16" s="338"/>
      <c r="E16" s="29" t="s">
        <v>149</v>
      </c>
      <c r="F16" s="29" t="s">
        <v>80</v>
      </c>
      <c r="G16" s="29" t="s">
        <v>81</v>
      </c>
      <c r="H16" s="29" t="s">
        <v>84</v>
      </c>
      <c r="I16" s="29" t="s">
        <v>85</v>
      </c>
      <c r="J16" s="29" t="s">
        <v>86</v>
      </c>
      <c r="K16" s="294"/>
      <c r="L16" s="171" t="s">
        <v>496</v>
      </c>
      <c r="M16" s="29"/>
      <c r="N16" s="29" t="s">
        <v>142</v>
      </c>
      <c r="O16" s="29" t="s">
        <v>149</v>
      </c>
      <c r="P16" s="29" t="s">
        <v>80</v>
      </c>
      <c r="Q16" s="29" t="s">
        <v>81</v>
      </c>
      <c r="R16" s="268" t="s">
        <v>84</v>
      </c>
      <c r="S16" s="29" t="s">
        <v>85</v>
      </c>
      <c r="T16" s="29" t="s">
        <v>86</v>
      </c>
    </row>
    <row r="17" spans="1:37" ht="13.5" customHeight="1" x14ac:dyDescent="0.35">
      <c r="B17" s="275"/>
      <c r="C17" s="347" t="s">
        <v>273</v>
      </c>
      <c r="D17" s="30"/>
      <c r="E17" s="30">
        <v>0.15</v>
      </c>
      <c r="F17" s="337">
        <v>0.25</v>
      </c>
      <c r="G17" s="337">
        <v>0.25</v>
      </c>
      <c r="H17" s="337">
        <v>0.25</v>
      </c>
      <c r="I17" s="337">
        <v>0.25</v>
      </c>
      <c r="J17" s="337">
        <v>0.25</v>
      </c>
      <c r="K17" s="29"/>
      <c r="L17" s="275"/>
      <c r="M17" s="347" t="s">
        <v>273</v>
      </c>
      <c r="N17" s="30"/>
      <c r="O17" s="30">
        <v>0.15</v>
      </c>
      <c r="P17" s="337">
        <v>0.2</v>
      </c>
      <c r="Q17" s="337">
        <v>0.35</v>
      </c>
      <c r="R17" s="357">
        <v>0.4</v>
      </c>
      <c r="S17" s="337">
        <v>0.3</v>
      </c>
      <c r="T17" s="337">
        <f>S17</f>
        <v>0.3</v>
      </c>
    </row>
    <row r="18" spans="1:37" ht="13.5" customHeight="1" x14ac:dyDescent="0.35">
      <c r="B18" s="275"/>
      <c r="C18" s="254" t="s">
        <v>35</v>
      </c>
      <c r="D18" s="30"/>
      <c r="E18" s="30">
        <v>0.1</v>
      </c>
      <c r="F18" s="337">
        <v>0.2</v>
      </c>
      <c r="G18" s="337">
        <v>0.2</v>
      </c>
      <c r="H18" s="337">
        <v>0.2</v>
      </c>
      <c r="I18" s="337">
        <v>0.2</v>
      </c>
      <c r="J18" s="337">
        <v>0.2</v>
      </c>
      <c r="K18" s="29"/>
      <c r="L18" s="275"/>
      <c r="M18" s="254" t="s">
        <v>35</v>
      </c>
      <c r="N18" s="30"/>
      <c r="O18" s="30">
        <v>0.15</v>
      </c>
      <c r="P18" s="337">
        <v>0.2</v>
      </c>
      <c r="Q18" s="337">
        <v>0.25</v>
      </c>
      <c r="R18" s="357">
        <v>0.3</v>
      </c>
      <c r="S18" s="337">
        <v>0.3</v>
      </c>
      <c r="T18" s="337">
        <f t="shared" ref="T18:T23" si="0">S18</f>
        <v>0.3</v>
      </c>
    </row>
    <row r="19" spans="1:37" s="173" customFormat="1" ht="13.5" customHeight="1" x14ac:dyDescent="0.35">
      <c r="A19" s="35"/>
      <c r="B19" s="275"/>
      <c r="C19" s="347" t="s">
        <v>274</v>
      </c>
      <c r="D19" s="30"/>
      <c r="E19" s="30">
        <v>0.15</v>
      </c>
      <c r="F19" s="337">
        <v>0.2</v>
      </c>
      <c r="G19" s="337">
        <v>0.2</v>
      </c>
      <c r="H19" s="337">
        <v>0.25</v>
      </c>
      <c r="I19" s="337">
        <v>0.25</v>
      </c>
      <c r="J19" s="337">
        <v>0.2</v>
      </c>
      <c r="K19" s="29"/>
      <c r="L19" s="275"/>
      <c r="M19" s="347" t="s">
        <v>274</v>
      </c>
      <c r="N19" s="30"/>
      <c r="O19" s="30">
        <v>0.2</v>
      </c>
      <c r="P19" s="337">
        <v>0.2</v>
      </c>
      <c r="Q19" s="337">
        <v>0.25</v>
      </c>
      <c r="R19" s="357">
        <v>0.3</v>
      </c>
      <c r="S19" s="337">
        <v>0.3</v>
      </c>
      <c r="T19" s="337">
        <f t="shared" si="0"/>
        <v>0.3</v>
      </c>
      <c r="U19" s="30"/>
      <c r="V19"/>
      <c r="W19"/>
      <c r="X19"/>
      <c r="Y19"/>
      <c r="Z19"/>
      <c r="AA19" s="165"/>
      <c r="AB19"/>
      <c r="AC19" s="30"/>
      <c r="AD19"/>
      <c r="AE19"/>
      <c r="AF19"/>
      <c r="AG19"/>
      <c r="AH19"/>
      <c r="AI19"/>
      <c r="AJ19"/>
      <c r="AK19"/>
    </row>
    <row r="20" spans="1:37" s="173" customFormat="1" ht="13.5" customHeight="1" x14ac:dyDescent="0.35">
      <c r="A20" s="35"/>
      <c r="B20" s="275"/>
      <c r="C20" s="254" t="s">
        <v>58</v>
      </c>
      <c r="D20" s="30"/>
      <c r="E20" s="30">
        <v>0.15</v>
      </c>
      <c r="F20" s="337">
        <v>0.2</v>
      </c>
      <c r="G20" s="337">
        <v>0.2</v>
      </c>
      <c r="H20" s="337">
        <v>0.2</v>
      </c>
      <c r="I20" s="337">
        <v>0.25</v>
      </c>
      <c r="J20" s="337">
        <v>0.2</v>
      </c>
      <c r="K20" s="29"/>
      <c r="L20" s="275"/>
      <c r="M20" s="254" t="s">
        <v>58</v>
      </c>
      <c r="N20" s="30"/>
      <c r="O20" s="30">
        <v>0.2</v>
      </c>
      <c r="P20" s="337">
        <v>0.2</v>
      </c>
      <c r="Q20" s="337">
        <v>0.25</v>
      </c>
      <c r="R20" s="357">
        <v>0.25</v>
      </c>
      <c r="S20" s="337">
        <v>0.3</v>
      </c>
      <c r="T20" s="337">
        <f t="shared" si="0"/>
        <v>0.3</v>
      </c>
      <c r="U20" s="30"/>
      <c r="V20"/>
      <c r="W20"/>
      <c r="X20"/>
      <c r="Y20"/>
      <c r="Z20"/>
      <c r="AA20" s="165"/>
      <c r="AB20"/>
      <c r="AC20" s="30"/>
      <c r="AD20"/>
      <c r="AE20"/>
      <c r="AF20"/>
      <c r="AG20"/>
      <c r="AH20"/>
      <c r="AI20"/>
      <c r="AJ20"/>
      <c r="AK20"/>
    </row>
    <row r="21" spans="1:37" s="173" customFormat="1" ht="13.5" customHeight="1" x14ac:dyDescent="0.35">
      <c r="A21" s="35"/>
      <c r="B21" s="275"/>
      <c r="C21" s="254" t="s">
        <v>62</v>
      </c>
      <c r="D21" s="30"/>
      <c r="E21" s="30">
        <v>0.15</v>
      </c>
      <c r="F21" s="337">
        <v>0.15</v>
      </c>
      <c r="G21" s="337">
        <v>0.2</v>
      </c>
      <c r="H21" s="337">
        <v>0.25</v>
      </c>
      <c r="I21" s="337">
        <v>0.2</v>
      </c>
      <c r="J21" s="337">
        <v>0.2</v>
      </c>
      <c r="K21" s="29"/>
      <c r="L21" s="275"/>
      <c r="M21" s="254" t="s">
        <v>62</v>
      </c>
      <c r="N21" s="30"/>
      <c r="O21" s="30">
        <v>0.2</v>
      </c>
      <c r="P21" s="337">
        <v>0.15</v>
      </c>
      <c r="Q21" s="337">
        <v>0.2</v>
      </c>
      <c r="R21" s="357">
        <v>0.22</v>
      </c>
      <c r="S21" s="337">
        <v>0.25</v>
      </c>
      <c r="T21" s="337">
        <f t="shared" si="0"/>
        <v>0.25</v>
      </c>
      <c r="U21" s="30"/>
      <c r="V21"/>
      <c r="W21"/>
      <c r="X21"/>
      <c r="Y21"/>
      <c r="Z21"/>
      <c r="AA21" s="165"/>
      <c r="AB21"/>
      <c r="AC21" s="30"/>
      <c r="AD21"/>
      <c r="AE21"/>
      <c r="AF21"/>
      <c r="AG21"/>
      <c r="AH21"/>
      <c r="AI21"/>
      <c r="AJ21"/>
      <c r="AK21"/>
    </row>
    <row r="22" spans="1:37" s="173" customFormat="1" ht="13.5" customHeight="1" x14ac:dyDescent="0.35">
      <c r="A22" s="35"/>
      <c r="B22" s="275"/>
      <c r="C22" s="254" t="s">
        <v>204</v>
      </c>
      <c r="D22" s="30"/>
      <c r="E22" s="30">
        <v>0.15</v>
      </c>
      <c r="F22" s="337">
        <v>0.17</v>
      </c>
      <c r="G22" s="337">
        <v>0.2</v>
      </c>
      <c r="H22" s="337">
        <v>0.2</v>
      </c>
      <c r="I22" s="337">
        <v>0.25</v>
      </c>
      <c r="J22" s="337">
        <v>0.25</v>
      </c>
      <c r="K22" s="29"/>
      <c r="L22" s="275"/>
      <c r="M22" s="254" t="s">
        <v>204</v>
      </c>
      <c r="N22" s="30"/>
      <c r="O22" s="30">
        <v>0.15</v>
      </c>
      <c r="P22" s="337">
        <v>0.17</v>
      </c>
      <c r="Q22" s="337">
        <v>0.2</v>
      </c>
      <c r="R22" s="357">
        <v>0.25</v>
      </c>
      <c r="S22" s="337">
        <v>0.25</v>
      </c>
      <c r="T22" s="337">
        <f t="shared" si="0"/>
        <v>0.25</v>
      </c>
      <c r="U22" s="30"/>
      <c r="V22"/>
      <c r="W22"/>
      <c r="X22"/>
      <c r="Y22"/>
      <c r="Z22"/>
      <c r="AA22" s="165"/>
      <c r="AB22"/>
      <c r="AC22" s="30"/>
      <c r="AD22"/>
      <c r="AE22"/>
      <c r="AF22"/>
      <c r="AG22"/>
      <c r="AH22"/>
      <c r="AI22"/>
      <c r="AJ22"/>
      <c r="AK22"/>
    </row>
    <row r="23" spans="1:37" s="173" customFormat="1" ht="13.5" customHeight="1" x14ac:dyDescent="0.35">
      <c r="A23" s="35"/>
      <c r="B23" s="275"/>
      <c r="C23" s="254" t="s">
        <v>207</v>
      </c>
      <c r="D23" s="30"/>
      <c r="E23" s="30">
        <v>0.1</v>
      </c>
      <c r="F23" s="337">
        <v>0.2</v>
      </c>
      <c r="G23" s="337">
        <v>0.25</v>
      </c>
      <c r="H23" s="337">
        <v>0.25</v>
      </c>
      <c r="I23" s="337">
        <v>0.2</v>
      </c>
      <c r="J23" s="337">
        <v>0.25</v>
      </c>
      <c r="K23" s="29"/>
      <c r="L23" s="275"/>
      <c r="M23" s="254" t="s">
        <v>207</v>
      </c>
      <c r="N23" s="30"/>
      <c r="O23" s="30">
        <v>0.2</v>
      </c>
      <c r="P23" s="337">
        <v>0.2</v>
      </c>
      <c r="Q23" s="337">
        <v>0.25</v>
      </c>
      <c r="R23" s="357">
        <v>0.3</v>
      </c>
      <c r="S23" s="337">
        <v>0.3</v>
      </c>
      <c r="T23" s="337">
        <f t="shared" si="0"/>
        <v>0.3</v>
      </c>
      <c r="U23" s="30"/>
      <c r="V23"/>
      <c r="W23"/>
      <c r="X23"/>
      <c r="Y23"/>
      <c r="Z23"/>
      <c r="AA23" s="165"/>
      <c r="AB23"/>
      <c r="AC23" s="30"/>
      <c r="AD23"/>
      <c r="AE23"/>
      <c r="AF23"/>
      <c r="AG23"/>
      <c r="AH23"/>
      <c r="AI23"/>
      <c r="AJ23"/>
      <c r="AK23"/>
    </row>
    <row r="24" spans="1:37" s="173" customFormat="1" ht="13.5" customHeight="1" x14ac:dyDescent="0.35">
      <c r="A24" s="35"/>
      <c r="B24" s="275"/>
      <c r="C24" s="254" t="s">
        <v>215</v>
      </c>
      <c r="D24" s="30"/>
      <c r="E24" s="30">
        <v>7.0000000000000007E-2</v>
      </c>
      <c r="F24" s="337">
        <v>0.12</v>
      </c>
      <c r="G24" s="337">
        <v>0.15</v>
      </c>
      <c r="H24" s="337">
        <v>0.17</v>
      </c>
      <c r="I24" s="337">
        <v>0.19</v>
      </c>
      <c r="J24" s="337">
        <v>0.22</v>
      </c>
      <c r="K24" s="294"/>
      <c r="L24" s="275"/>
      <c r="M24" s="254" t="s">
        <v>215</v>
      </c>
      <c r="N24" s="30"/>
      <c r="O24" s="30">
        <v>0.1</v>
      </c>
      <c r="P24" s="337">
        <v>0.12</v>
      </c>
      <c r="Q24" s="337">
        <v>0.15</v>
      </c>
      <c r="R24" s="357">
        <v>0.17</v>
      </c>
      <c r="S24" s="337">
        <v>0.19</v>
      </c>
      <c r="T24" s="337">
        <v>0.22</v>
      </c>
      <c r="U24" s="30"/>
      <c r="V24"/>
      <c r="W24"/>
      <c r="X24"/>
      <c r="Y24"/>
      <c r="Z24"/>
      <c r="AA24" s="165"/>
      <c r="AB24"/>
      <c r="AC24" s="30"/>
      <c r="AD24"/>
      <c r="AE24"/>
      <c r="AF24"/>
      <c r="AG24"/>
      <c r="AH24"/>
      <c r="AI24"/>
      <c r="AJ24"/>
      <c r="AK24"/>
    </row>
    <row r="25" spans="1:37" s="173" customFormat="1" ht="13.5" customHeight="1" x14ac:dyDescent="0.35">
      <c r="A25" s="35"/>
      <c r="B25" s="275"/>
      <c r="C25" s="29"/>
      <c r="D25" s="29" t="s">
        <v>444</v>
      </c>
      <c r="E25" s="29"/>
      <c r="F25" s="325"/>
      <c r="G25" s="294"/>
      <c r="H25" s="294"/>
      <c r="I25" s="294"/>
      <c r="J25" s="294"/>
      <c r="K25" s="294"/>
      <c r="L25" s="272"/>
      <c r="M25" s="272"/>
      <c r="N25" s="325"/>
      <c r="O25" s="294"/>
      <c r="P25" s="295"/>
      <c r="Q25" s="297"/>
      <c r="R25"/>
      <c r="S25"/>
      <c r="T25"/>
      <c r="U25" s="30"/>
      <c r="V25"/>
      <c r="W25"/>
      <c r="X25"/>
      <c r="Y25"/>
      <c r="Z25"/>
      <c r="AA25" s="165"/>
      <c r="AB25"/>
      <c r="AC25" s="30"/>
      <c r="AD25"/>
      <c r="AE25"/>
      <c r="AF25"/>
      <c r="AG25"/>
      <c r="AH25"/>
      <c r="AI25"/>
      <c r="AJ25"/>
      <c r="AK25"/>
    </row>
    <row r="26" spans="1:37" s="173" customFormat="1" ht="13.5" customHeight="1" x14ac:dyDescent="0.35">
      <c r="A26" s="35"/>
      <c r="B26" s="275"/>
      <c r="C26" s="347" t="s">
        <v>273</v>
      </c>
      <c r="D26" s="29">
        <f>' TAM &amp; SOM'!F19</f>
        <v>168.02500000000001</v>
      </c>
      <c r="E26" s="29">
        <f>L53*(1+M53)</f>
        <v>8502.0650000000005</v>
      </c>
      <c r="F26" s="325"/>
      <c r="G26" s="294"/>
      <c r="H26" s="294"/>
      <c r="I26" s="294"/>
      <c r="J26" s="294"/>
      <c r="K26" s="294"/>
      <c r="L26" s="272"/>
      <c r="M26" s="272"/>
      <c r="N26" s="325"/>
      <c r="O26" s="294"/>
      <c r="P26" s="295"/>
      <c r="Q26" s="297"/>
      <c r="R26"/>
      <c r="S26"/>
      <c r="T26"/>
      <c r="U26" s="30"/>
      <c r="V26"/>
      <c r="W26"/>
      <c r="X26"/>
      <c r="Y26"/>
      <c r="Z26"/>
      <c r="AA26" s="165"/>
      <c r="AB26"/>
      <c r="AC26" s="30"/>
      <c r="AD26"/>
      <c r="AE26"/>
      <c r="AF26"/>
      <c r="AG26"/>
      <c r="AH26"/>
      <c r="AI26"/>
      <c r="AJ26"/>
      <c r="AK26"/>
    </row>
    <row r="27" spans="1:37" s="173" customFormat="1" ht="13.5" customHeight="1" x14ac:dyDescent="0.35">
      <c r="A27" s="35"/>
      <c r="B27" s="275"/>
      <c r="C27" s="254" t="s">
        <v>35</v>
      </c>
      <c r="D27" s="29">
        <f>' TAM &amp; SOM'!F20</f>
        <v>382.52500000000009</v>
      </c>
      <c r="E27" s="29">
        <f t="shared" ref="E27:E33" si="1">L54*(1+M54)</f>
        <v>257900.90040000001</v>
      </c>
      <c r="F27" s="325"/>
      <c r="G27" s="294"/>
      <c r="H27" s="294"/>
      <c r="I27" s="294"/>
      <c r="J27" s="294"/>
      <c r="K27" s="294"/>
      <c r="L27" s="272"/>
      <c r="M27" s="272"/>
      <c r="N27" s="325"/>
      <c r="O27" s="294"/>
      <c r="P27" s="295"/>
      <c r="Q27" s="297"/>
      <c r="R27"/>
      <c r="S27"/>
      <c r="T27"/>
      <c r="U27" s="30"/>
      <c r="V27"/>
      <c r="W27"/>
      <c r="X27"/>
      <c r="Y27"/>
      <c r="Z27"/>
      <c r="AA27" s="165"/>
      <c r="AB27"/>
      <c r="AC27" s="30"/>
      <c r="AD27"/>
      <c r="AE27"/>
      <c r="AF27"/>
      <c r="AG27"/>
      <c r="AH27"/>
      <c r="AI27"/>
      <c r="AJ27"/>
      <c r="AK27"/>
    </row>
    <row r="28" spans="1:37" s="173" customFormat="1" ht="13.5" customHeight="1" x14ac:dyDescent="0.35">
      <c r="A28" s="35"/>
      <c r="B28" s="275"/>
      <c r="C28" s="347" t="s">
        <v>274</v>
      </c>
      <c r="D28" s="29">
        <f>' TAM &amp; SOM'!F21</f>
        <v>1450.0107142857146</v>
      </c>
      <c r="E28" s="29">
        <f t="shared" si="1"/>
        <v>45792.453750000001</v>
      </c>
      <c r="F28" s="325"/>
      <c r="G28" s="294"/>
      <c r="H28" s="294"/>
      <c r="I28" s="294"/>
      <c r="J28" s="294"/>
      <c r="K28" s="294"/>
      <c r="L28" s="272"/>
      <c r="M28" s="272"/>
      <c r="N28" s="325"/>
      <c r="O28" s="294"/>
      <c r="P28" s="295"/>
      <c r="Q28" s="297"/>
      <c r="R28"/>
      <c r="S28"/>
      <c r="T28"/>
      <c r="U28" s="30"/>
      <c r="V28"/>
      <c r="W28"/>
      <c r="X28"/>
      <c r="Y28"/>
      <c r="Z28"/>
      <c r="AA28" s="165"/>
      <c r="AB28"/>
      <c r="AC28" s="30"/>
      <c r="AD28"/>
      <c r="AE28"/>
      <c r="AF28"/>
      <c r="AG28"/>
      <c r="AH28"/>
      <c r="AI28"/>
      <c r="AJ28"/>
      <c r="AK28"/>
    </row>
    <row r="29" spans="1:37" s="173" customFormat="1" ht="13.5" customHeight="1" x14ac:dyDescent="0.35">
      <c r="A29" s="35"/>
      <c r="B29" s="275"/>
      <c r="C29" s="254" t="s">
        <v>58</v>
      </c>
      <c r="D29" s="29">
        <f>' TAM &amp; SOM'!F22</f>
        <v>6251.8181818181811</v>
      </c>
      <c r="E29" s="29">
        <f t="shared" si="1"/>
        <v>197437.22727272726</v>
      </c>
      <c r="F29" s="325"/>
      <c r="G29" s="294"/>
      <c r="H29" s="294"/>
      <c r="I29" s="294"/>
      <c r="J29" s="294"/>
      <c r="K29" s="294"/>
      <c r="L29" s="272"/>
      <c r="M29" s="272"/>
      <c r="N29" s="325"/>
      <c r="O29" s="294"/>
      <c r="P29" s="295"/>
      <c r="Q29" s="297"/>
      <c r="R29"/>
      <c r="S29"/>
      <c r="T29"/>
      <c r="U29" s="30"/>
      <c r="V29"/>
      <c r="W29"/>
      <c r="X29"/>
      <c r="Y29"/>
      <c r="Z29"/>
      <c r="AA29" s="165"/>
      <c r="AB29"/>
      <c r="AC29" s="30"/>
      <c r="AD29"/>
      <c r="AE29"/>
      <c r="AF29"/>
      <c r="AG29"/>
      <c r="AH29"/>
      <c r="AI29"/>
      <c r="AJ29"/>
      <c r="AK29"/>
    </row>
    <row r="30" spans="1:37" s="173" customFormat="1" ht="13.5" customHeight="1" x14ac:dyDescent="0.35">
      <c r="A30" s="35"/>
      <c r="B30" s="275"/>
      <c r="C30" s="254" t="s">
        <v>62</v>
      </c>
      <c r="D30" s="29">
        <f>' TAM &amp; SOM'!F23</f>
        <v>197.32142857142858</v>
      </c>
      <c r="E30" s="29">
        <f t="shared" si="1"/>
        <v>6231.5624999999991</v>
      </c>
      <c r="F30" s="325"/>
      <c r="G30" s="294"/>
      <c r="H30" s="294"/>
      <c r="I30" s="294"/>
      <c r="J30" s="294"/>
      <c r="K30" s="294"/>
      <c r="L30" s="272"/>
      <c r="M30" s="272"/>
      <c r="N30" s="325"/>
      <c r="O30" s="294"/>
      <c r="P30" s="295"/>
      <c r="Q30" s="297"/>
      <c r="R30"/>
      <c r="S30"/>
      <c r="T30"/>
      <c r="U30" s="30"/>
      <c r="V30"/>
      <c r="W30"/>
      <c r="X30"/>
      <c r="Y30"/>
      <c r="Z30"/>
      <c r="AA30" s="165"/>
      <c r="AB30"/>
      <c r="AC30" s="30"/>
      <c r="AD30"/>
      <c r="AE30"/>
      <c r="AF30"/>
      <c r="AG30"/>
      <c r="AH30"/>
      <c r="AI30"/>
      <c r="AJ30"/>
      <c r="AK30"/>
    </row>
    <row r="31" spans="1:37" s="173" customFormat="1" ht="13.5" customHeight="1" x14ac:dyDescent="0.35">
      <c r="A31" s="35"/>
      <c r="B31" s="275"/>
      <c r="C31" s="254" t="s">
        <v>204</v>
      </c>
      <c r="D31" s="29">
        <f>' TAM &amp; SOM'!F24</f>
        <v>1699.75</v>
      </c>
      <c r="E31" s="29">
        <f t="shared" si="1"/>
        <v>53679.412499999999</v>
      </c>
      <c r="F31" s="325"/>
      <c r="G31" s="294"/>
      <c r="H31" s="294"/>
      <c r="I31" s="294"/>
      <c r="J31" s="294"/>
      <c r="K31" s="294"/>
      <c r="L31" s="272"/>
      <c r="M31" s="272"/>
      <c r="N31" s="325"/>
      <c r="O31" s="294"/>
      <c r="P31" s="295"/>
      <c r="Q31" s="297"/>
      <c r="R31"/>
      <c r="S31"/>
      <c r="T31"/>
      <c r="U31" s="30"/>
      <c r="V31"/>
      <c r="W31"/>
      <c r="X31"/>
      <c r="Y31"/>
      <c r="Z31"/>
      <c r="AA31" s="165"/>
      <c r="AB31"/>
      <c r="AC31" s="30"/>
      <c r="AD31"/>
      <c r="AE31"/>
      <c r="AF31"/>
      <c r="AG31"/>
      <c r="AH31"/>
      <c r="AI31"/>
      <c r="AJ31"/>
      <c r="AK31"/>
    </row>
    <row r="32" spans="1:37" s="173" customFormat="1" ht="13.5" customHeight="1" x14ac:dyDescent="0.35">
      <c r="A32" s="35"/>
      <c r="B32" s="275"/>
      <c r="C32" s="254" t="s">
        <v>207</v>
      </c>
      <c r="D32" s="29">
        <f>' TAM &amp; SOM'!F25</f>
        <v>78</v>
      </c>
      <c r="E32" s="29">
        <f t="shared" si="1"/>
        <v>2356.2000000000003</v>
      </c>
      <c r="F32" s="325"/>
      <c r="G32" s="294"/>
      <c r="H32" s="294"/>
      <c r="I32" s="294"/>
      <c r="J32" s="294"/>
      <c r="K32" s="294"/>
      <c r="L32" s="272"/>
      <c r="M32" s="272"/>
      <c r="N32" s="325"/>
      <c r="O32" s="294"/>
      <c r="P32" s="295"/>
      <c r="Q32" s="297"/>
      <c r="R32"/>
      <c r="S32"/>
      <c r="T32"/>
      <c r="U32" s="30"/>
      <c r="V32"/>
      <c r="W32"/>
      <c r="X32"/>
      <c r="Y32"/>
      <c r="Z32"/>
      <c r="AA32" s="165"/>
      <c r="AB32"/>
      <c r="AC32" s="30"/>
      <c r="AD32"/>
      <c r="AE32"/>
      <c r="AF32"/>
      <c r="AG32"/>
      <c r="AH32"/>
      <c r="AI32"/>
      <c r="AJ32"/>
      <c r="AK32"/>
    </row>
    <row r="33" spans="1:37" s="173" customFormat="1" ht="13.5" customHeight="1" x14ac:dyDescent="0.35">
      <c r="A33" s="35"/>
      <c r="B33" s="275"/>
      <c r="C33" s="254" t="s">
        <v>215</v>
      </c>
      <c r="D33" s="29">
        <f>' TAM &amp; SOM'!F26</f>
        <v>6138.9900000000007</v>
      </c>
      <c r="E33" s="29">
        <f t="shared" si="1"/>
        <v>180387.13770000005</v>
      </c>
      <c r="F33" s="325"/>
      <c r="G33" s="294"/>
      <c r="H33" s="294"/>
      <c r="I33" s="294"/>
      <c r="J33" s="294"/>
      <c r="K33" s="294"/>
      <c r="L33" s="272"/>
      <c r="M33" s="272"/>
      <c r="N33" s="325"/>
      <c r="O33" s="294"/>
      <c r="P33" s="295"/>
      <c r="Q33" s="297"/>
      <c r="R33"/>
      <c r="S33"/>
      <c r="T33"/>
      <c r="U33" s="30"/>
      <c r="V33"/>
      <c r="W33"/>
      <c r="X33"/>
      <c r="Y33"/>
      <c r="Z33"/>
      <c r="AA33" s="165"/>
      <c r="AB33"/>
      <c r="AC33" s="30"/>
      <c r="AD33"/>
      <c r="AE33"/>
      <c r="AF33"/>
      <c r="AG33"/>
      <c r="AH33"/>
      <c r="AI33"/>
      <c r="AJ33"/>
      <c r="AK33"/>
    </row>
    <row r="34" spans="1:37" s="173" customFormat="1" ht="13.5" customHeight="1" x14ac:dyDescent="0.35">
      <c r="A34" s="35"/>
      <c r="B34" s="275"/>
      <c r="C34" s="29"/>
      <c r="D34" s="29"/>
      <c r="E34" s="29"/>
      <c r="F34" s="325"/>
      <c r="G34" s="294"/>
      <c r="H34" s="294"/>
      <c r="I34" s="294"/>
      <c r="J34" s="294"/>
      <c r="K34" s="294"/>
      <c r="L34" s="272"/>
      <c r="M34" s="272"/>
      <c r="N34" s="325"/>
      <c r="O34" s="294"/>
      <c r="P34" s="295"/>
      <c r="Q34" s="297"/>
      <c r="R34"/>
      <c r="S34"/>
      <c r="T34"/>
      <c r="U34" s="30"/>
      <c r="V34"/>
      <c r="W34"/>
      <c r="X34"/>
      <c r="Y34"/>
      <c r="Z34"/>
      <c r="AA34" s="165"/>
      <c r="AB34"/>
      <c r="AC34" s="30"/>
      <c r="AD34"/>
      <c r="AE34"/>
      <c r="AF34"/>
      <c r="AG34"/>
      <c r="AH34"/>
      <c r="AI34"/>
      <c r="AJ34"/>
      <c r="AK34"/>
    </row>
    <row r="35" spans="1:37" s="173" customFormat="1" ht="13.5" customHeight="1" x14ac:dyDescent="0.35">
      <c r="A35" s="35"/>
      <c r="B35" s="275"/>
      <c r="C35" s="29"/>
      <c r="D35" s="29"/>
      <c r="E35" s="29"/>
      <c r="F35" s="325"/>
      <c r="G35" s="294"/>
      <c r="H35" s="294"/>
      <c r="I35" s="294"/>
      <c r="J35" s="294"/>
      <c r="K35" s="294"/>
      <c r="L35" s="272"/>
      <c r="M35" s="272"/>
      <c r="N35" s="325"/>
      <c r="O35" s="294"/>
      <c r="P35" s="295"/>
      <c r="Q35" s="297"/>
      <c r="R35"/>
      <c r="S35"/>
      <c r="T35"/>
      <c r="U35" s="30"/>
      <c r="V35"/>
      <c r="W35"/>
      <c r="X35"/>
      <c r="Y35"/>
      <c r="Z35"/>
      <c r="AA35" s="165"/>
      <c r="AB35"/>
      <c r="AC35" s="30"/>
      <c r="AD35"/>
      <c r="AE35"/>
      <c r="AF35"/>
      <c r="AG35"/>
      <c r="AH35"/>
      <c r="AI35"/>
      <c r="AJ35"/>
      <c r="AK35"/>
    </row>
    <row r="36" spans="1:37" s="173" customFormat="1" ht="13.5" customHeight="1" x14ac:dyDescent="0.35">
      <c r="A36" s="35"/>
      <c r="B36" s="275"/>
      <c r="C36" s="29"/>
      <c r="D36" s="29"/>
      <c r="E36" s="29"/>
      <c r="F36" s="325"/>
      <c r="G36" s="294"/>
      <c r="H36" s="294"/>
      <c r="I36" s="294"/>
      <c r="J36" s="294"/>
      <c r="K36" s="294"/>
      <c r="L36" s="272"/>
      <c r="M36" s="272"/>
      <c r="N36" s="325"/>
      <c r="O36" s="294"/>
      <c r="P36" s="295"/>
      <c r="Q36" s="297"/>
      <c r="R36"/>
      <c r="S36"/>
      <c r="T36"/>
      <c r="U36" s="30"/>
      <c r="V36"/>
      <c r="W36"/>
      <c r="X36"/>
      <c r="Y36"/>
      <c r="Z36"/>
      <c r="AA36" s="165"/>
      <c r="AB36"/>
      <c r="AC36" s="30"/>
      <c r="AD36"/>
      <c r="AE36"/>
      <c r="AF36"/>
      <c r="AG36"/>
      <c r="AH36"/>
      <c r="AI36"/>
      <c r="AJ36"/>
      <c r="AK36"/>
    </row>
    <row r="37" spans="1:37" s="173" customFormat="1" ht="13.5" customHeight="1" x14ac:dyDescent="0.35">
      <c r="A37" s="35"/>
      <c r="B37" s="275" t="s">
        <v>293</v>
      </c>
      <c r="C37" s="29"/>
      <c r="D37" s="29"/>
      <c r="E37" s="29"/>
      <c r="F37" s="191"/>
      <c r="G37"/>
      <c r="H37"/>
      <c r="I37" s="256"/>
      <c r="J37"/>
      <c r="K37" s="82"/>
      <c r="L37"/>
      <c r="M37"/>
      <c r="N37" s="191"/>
      <c r="O37"/>
      <c r="P37"/>
      <c r="Q37" s="296"/>
      <c r="R37"/>
      <c r="S37"/>
      <c r="T37"/>
      <c r="U37" s="30"/>
      <c r="V37"/>
      <c r="W37"/>
      <c r="X37"/>
      <c r="Y37"/>
      <c r="Z37"/>
      <c r="AA37" s="165"/>
      <c r="AB37"/>
      <c r="AC37" s="30"/>
      <c r="AD37"/>
      <c r="AE37"/>
      <c r="AF37"/>
      <c r="AG37"/>
      <c r="AH37"/>
      <c r="AI37"/>
      <c r="AJ37"/>
      <c r="AK37"/>
    </row>
    <row r="38" spans="1:37" s="173" customFormat="1" ht="13.5" customHeight="1" thickBot="1" x14ac:dyDescent="0.4">
      <c r="A38" s="35"/>
      <c r="B38" s="275" t="s">
        <v>294</v>
      </c>
      <c r="C38" s="29"/>
      <c r="D38" s="29"/>
      <c r="E38" s="29"/>
      <c r="F38" s="191"/>
      <c r="G38"/>
      <c r="H38"/>
      <c r="I38" s="256"/>
      <c r="J38"/>
      <c r="K38" s="82"/>
      <c r="L38"/>
      <c r="M38"/>
      <c r="N38" s="191"/>
      <c r="O38"/>
      <c r="P38"/>
      <c r="Q38" s="296"/>
      <c r="R38"/>
      <c r="S38"/>
      <c r="T38"/>
      <c r="U38" s="30"/>
      <c r="V38"/>
      <c r="W38"/>
      <c r="X38"/>
      <c r="Y38"/>
      <c r="Z38"/>
      <c r="AA38" s="165"/>
      <c r="AB38"/>
      <c r="AC38" s="30"/>
      <c r="AD38"/>
      <c r="AE38"/>
      <c r="AF38"/>
      <c r="AG38"/>
      <c r="AH38"/>
      <c r="AI38"/>
      <c r="AJ38"/>
      <c r="AK38"/>
    </row>
    <row r="39" spans="1:37" s="173" customFormat="1" ht="13.5" customHeight="1" x14ac:dyDescent="0.35">
      <c r="A39" s="35"/>
      <c r="B39" s="4" t="s">
        <v>434</v>
      </c>
      <c r="C39" s="187"/>
      <c r="D39" s="183"/>
      <c r="E39" s="183"/>
      <c r="F39" s="326"/>
      <c r="G39" s="183"/>
      <c r="H39" s="183"/>
      <c r="I39" s="183"/>
      <c r="J39" s="183"/>
      <c r="K39" s="183"/>
      <c r="L39" s="183"/>
      <c r="M39" s="183"/>
      <c r="N39" s="326"/>
      <c r="O39" s="184"/>
      <c r="P39"/>
      <c r="Q39" s="296"/>
      <c r="R39"/>
      <c r="S39"/>
      <c r="T39"/>
      <c r="U39" s="30"/>
      <c r="V39"/>
      <c r="W39"/>
      <c r="X39"/>
      <c r="Y39"/>
      <c r="Z39"/>
      <c r="AA39" s="165"/>
      <c r="AB39"/>
      <c r="AC39" s="30"/>
      <c r="AD39"/>
      <c r="AE39"/>
      <c r="AF39"/>
      <c r="AG39"/>
      <c r="AH39"/>
      <c r="AI39"/>
      <c r="AJ39"/>
      <c r="AK39"/>
    </row>
    <row r="40" spans="1:37" s="173" customFormat="1" ht="13.5" customHeight="1" x14ac:dyDescent="0.35">
      <c r="A40" s="35"/>
      <c r="B40" s="9" t="s">
        <v>152</v>
      </c>
      <c r="C40" t="s">
        <v>278</v>
      </c>
      <c r="D40" t="s">
        <v>279</v>
      </c>
      <c r="E40" t="s">
        <v>426</v>
      </c>
      <c r="F40" t="s">
        <v>277</v>
      </c>
      <c r="G40" s="191" t="s">
        <v>285</v>
      </c>
      <c r="H40"/>
      <c r="I40" s="256"/>
      <c r="J40" t="s">
        <v>281</v>
      </c>
      <c r="K40"/>
      <c r="L40"/>
      <c r="M40"/>
      <c r="N40" s="191"/>
      <c r="O40" s="12"/>
      <c r="P40"/>
      <c r="Q40" s="296"/>
      <c r="R40"/>
      <c r="S40"/>
      <c r="T40"/>
      <c r="U40" s="30"/>
      <c r="V40"/>
      <c r="W40"/>
      <c r="X40"/>
      <c r="Y40"/>
      <c r="Z40"/>
      <c r="AA40" s="165"/>
      <c r="AB40"/>
      <c r="AC40" s="30"/>
      <c r="AD40"/>
      <c r="AE40"/>
      <c r="AF40"/>
      <c r="AG40"/>
      <c r="AH40"/>
      <c r="AI40"/>
      <c r="AJ40"/>
      <c r="AK40"/>
    </row>
    <row r="41" spans="1:37" s="173" customFormat="1" ht="13.5" customHeight="1" x14ac:dyDescent="0.35">
      <c r="A41" s="35"/>
      <c r="B41" s="9">
        <v>1</v>
      </c>
      <c r="C41" s="252">
        <f>' TAM &amp; SOM'!F5</f>
        <v>6721</v>
      </c>
      <c r="D41" s="252">
        <f t="shared" ref="D41:D47" si="2">C41*$D$49</f>
        <v>4704.7</v>
      </c>
      <c r="E41" s="30">
        <v>0.7</v>
      </c>
      <c r="F41" s="30">
        <v>0.05</v>
      </c>
      <c r="G41" s="333">
        <f>D41*F41</f>
        <v>235.23500000000001</v>
      </c>
      <c r="H41" s="252"/>
      <c r="I41" s="256"/>
      <c r="J41" s="379">
        <f>E41</f>
        <v>0.7</v>
      </c>
      <c r="K41" s="379"/>
      <c r="L41"/>
      <c r="M41"/>
      <c r="N41" s="191"/>
      <c r="O41" s="12"/>
      <c r="P41"/>
      <c r="Q41" s="296"/>
      <c r="R41"/>
      <c r="S41"/>
      <c r="T41"/>
      <c r="U41" s="30"/>
      <c r="V41"/>
      <c r="W41"/>
      <c r="X41"/>
      <c r="Y41"/>
      <c r="Z41"/>
      <c r="AA41" s="165"/>
      <c r="AB41"/>
      <c r="AC41" s="30"/>
      <c r="AD41"/>
      <c r="AE41"/>
      <c r="AF41"/>
      <c r="AG41"/>
      <c r="AH41"/>
      <c r="AI41"/>
      <c r="AJ41"/>
      <c r="AK41"/>
    </row>
    <row r="42" spans="1:37" s="173" customFormat="1" ht="13.5" customHeight="1" x14ac:dyDescent="0.35">
      <c r="A42" s="35"/>
      <c r="B42" s="9">
        <v>2</v>
      </c>
      <c r="C42" s="252">
        <f>' TAM &amp; SOM'!G5</f>
        <v>7393.1</v>
      </c>
      <c r="D42" s="252">
        <f t="shared" si="2"/>
        <v>5175.17</v>
      </c>
      <c r="E42" s="30">
        <v>0.04</v>
      </c>
      <c r="F42" s="191"/>
      <c r="G42" s="30"/>
      <c r="H42" s="252"/>
      <c r="I42"/>
      <c r="J42"/>
      <c r="K42"/>
      <c r="L42"/>
      <c r="M42"/>
      <c r="N42" s="191"/>
      <c r="O42" s="12"/>
      <c r="P42"/>
      <c r="Q42" s="296"/>
      <c r="R42"/>
      <c r="S42"/>
      <c r="T42"/>
      <c r="U42" s="30"/>
      <c r="V42"/>
      <c r="W42"/>
      <c r="X42"/>
      <c r="Y42"/>
      <c r="Z42"/>
      <c r="AA42" s="165"/>
      <c r="AB42"/>
      <c r="AC42" s="30"/>
      <c r="AD42"/>
      <c r="AE42"/>
      <c r="AF42"/>
      <c r="AG42"/>
      <c r="AH42"/>
      <c r="AI42"/>
      <c r="AJ42"/>
      <c r="AK42"/>
    </row>
    <row r="43" spans="1:37" s="173" customFormat="1" ht="13.5" customHeight="1" x14ac:dyDescent="0.35">
      <c r="A43" s="35"/>
      <c r="B43" s="9">
        <v>3</v>
      </c>
      <c r="C43" s="252">
        <f>' TAM &amp; SOM'!H5</f>
        <v>8132.4100000000008</v>
      </c>
      <c r="D43" s="252">
        <f t="shared" si="2"/>
        <v>5692.6869999999999</v>
      </c>
      <c r="E43" s="30">
        <v>0.08</v>
      </c>
      <c r="F43" s="191"/>
      <c r="G43" s="30"/>
      <c r="H43" s="252"/>
      <c r="I43"/>
      <c r="J43"/>
      <c r="K43"/>
      <c r="L43"/>
      <c r="M43"/>
      <c r="N43" s="191"/>
      <c r="O43" s="12"/>
      <c r="P43"/>
      <c r="Q43" s="296"/>
      <c r="R43"/>
      <c r="S43"/>
      <c r="T43"/>
      <c r="U43" s="30"/>
      <c r="V43"/>
      <c r="W43"/>
      <c r="X43"/>
      <c r="Y43"/>
      <c r="Z43"/>
      <c r="AA43" s="165"/>
      <c r="AB43"/>
      <c r="AC43" s="30"/>
      <c r="AD43"/>
      <c r="AE43"/>
      <c r="AF43"/>
      <c r="AG43"/>
      <c r="AH43"/>
      <c r="AI43"/>
      <c r="AJ43"/>
      <c r="AK43"/>
    </row>
    <row r="44" spans="1:37" s="173" customFormat="1" ht="13.5" customHeight="1" x14ac:dyDescent="0.35">
      <c r="A44" s="35"/>
      <c r="B44" s="9">
        <v>4</v>
      </c>
      <c r="C44" s="252">
        <f>' TAM &amp; SOM'!I5</f>
        <v>8945.6510000000017</v>
      </c>
      <c r="D44" s="252">
        <f t="shared" si="2"/>
        <v>6261.9557000000004</v>
      </c>
      <c r="E44" s="30">
        <v>0.12</v>
      </c>
      <c r="F44" s="191"/>
      <c r="G44" s="30"/>
      <c r="H44" s="252"/>
      <c r="I44"/>
      <c r="J44"/>
      <c r="K44"/>
      <c r="L44"/>
      <c r="M44"/>
      <c r="N44" s="191"/>
      <c r="O44" s="12"/>
      <c r="P44"/>
      <c r="Q44" s="296"/>
      <c r="R44"/>
      <c r="S44"/>
      <c r="T44"/>
      <c r="U44" s="30"/>
      <c r="V44"/>
      <c r="W44"/>
      <c r="X44"/>
      <c r="Y44"/>
      <c r="Z44"/>
      <c r="AA44" s="165"/>
      <c r="AB44"/>
      <c r="AC44" s="30"/>
      <c r="AD44"/>
      <c r="AE44"/>
      <c r="AF44"/>
      <c r="AG44"/>
      <c r="AH44"/>
      <c r="AI44"/>
      <c r="AJ44"/>
      <c r="AK44"/>
    </row>
    <row r="45" spans="1:37" s="173" customFormat="1" ht="13.5" customHeight="1" x14ac:dyDescent="0.35">
      <c r="A45" s="35"/>
      <c r="B45" s="9">
        <v>5</v>
      </c>
      <c r="C45" s="252">
        <f>' TAM &amp; SOM'!J5</f>
        <v>9840.2161000000033</v>
      </c>
      <c r="D45" s="252">
        <f t="shared" si="2"/>
        <v>6888.1512700000021</v>
      </c>
      <c r="E45" s="30">
        <v>0.15</v>
      </c>
      <c r="F45" s="191"/>
      <c r="G45" s="30"/>
      <c r="H45" s="252"/>
      <c r="I45"/>
      <c r="J45"/>
      <c r="K45"/>
      <c r="L45"/>
      <c r="M45"/>
      <c r="N45" s="191"/>
      <c r="O45" s="12"/>
      <c r="P45"/>
      <c r="Q45" s="296"/>
      <c r="R45"/>
      <c r="S45"/>
      <c r="T45"/>
      <c r="U45" s="30"/>
      <c r="V45"/>
      <c r="W45"/>
      <c r="X45"/>
      <c r="Y45"/>
      <c r="Z45"/>
      <c r="AA45" s="165"/>
      <c r="AB45"/>
      <c r="AC45" s="30"/>
      <c r="AD45"/>
      <c r="AE45"/>
      <c r="AF45"/>
      <c r="AG45"/>
      <c r="AH45"/>
      <c r="AI45"/>
      <c r="AJ45"/>
      <c r="AK45"/>
    </row>
    <row r="46" spans="1:37" s="173" customFormat="1" ht="13.5" customHeight="1" x14ac:dyDescent="0.35">
      <c r="A46" s="35"/>
      <c r="B46" s="9">
        <v>6</v>
      </c>
      <c r="C46" s="252">
        <f>' TAM &amp; SOM'!K5</f>
        <v>10824.237710000005</v>
      </c>
      <c r="D46" s="252">
        <f t="shared" si="2"/>
        <v>7576.9663970000029</v>
      </c>
      <c r="E46" s="30">
        <v>0.2</v>
      </c>
      <c r="F46" s="191"/>
      <c r="G46" s="30"/>
      <c r="H46" s="252"/>
      <c r="I46"/>
      <c r="J46"/>
      <c r="K46"/>
      <c r="L46"/>
      <c r="M46"/>
      <c r="N46" s="191"/>
      <c r="O46" s="12"/>
      <c r="P46"/>
      <c r="Q46" s="296"/>
      <c r="R46"/>
      <c r="S46"/>
      <c r="T46"/>
      <c r="U46" s="30"/>
      <c r="V46"/>
      <c r="W46"/>
      <c r="X46"/>
      <c r="Y46"/>
      <c r="Z46"/>
      <c r="AA46" s="165"/>
      <c r="AB46"/>
      <c r="AC46" s="30"/>
      <c r="AD46"/>
      <c r="AE46"/>
      <c r="AF46"/>
      <c r="AG46"/>
      <c r="AH46"/>
      <c r="AI46"/>
      <c r="AJ46"/>
      <c r="AK46"/>
    </row>
    <row r="47" spans="1:37" ht="13.5" customHeight="1" x14ac:dyDescent="0.35">
      <c r="B47" s="9">
        <v>7</v>
      </c>
      <c r="C47" s="252">
        <f>' TAM &amp; SOM'!L5</f>
        <v>11906.661481000006</v>
      </c>
      <c r="D47" s="252">
        <f t="shared" si="2"/>
        <v>8334.6630367000034</v>
      </c>
      <c r="E47" s="30">
        <v>0.25</v>
      </c>
      <c r="G47" s="30"/>
      <c r="H47" s="252"/>
      <c r="I47"/>
      <c r="K47"/>
      <c r="O47" s="12"/>
    </row>
    <row r="48" spans="1:37" ht="13.5" customHeight="1" x14ac:dyDescent="0.35">
      <c r="B48" s="9"/>
      <c r="C48" t="s">
        <v>432</v>
      </c>
      <c r="D48"/>
      <c r="E48"/>
      <c r="I48"/>
      <c r="K48"/>
      <c r="O48" s="12"/>
    </row>
    <row r="49" spans="2:33" ht="13.5" customHeight="1" thickBot="1" x14ac:dyDescent="0.4">
      <c r="B49" s="65"/>
      <c r="C49" s="28" t="s">
        <v>276</v>
      </c>
      <c r="D49" s="88">
        <v>0.7</v>
      </c>
      <c r="E49" s="28" t="s">
        <v>275</v>
      </c>
      <c r="F49" s="327" t="s">
        <v>257</v>
      </c>
      <c r="G49" s="28" t="s">
        <v>433</v>
      </c>
      <c r="H49" s="28"/>
      <c r="I49" s="28"/>
      <c r="J49" s="28"/>
      <c r="K49" s="28"/>
      <c r="L49" s="28"/>
      <c r="M49" s="28"/>
      <c r="N49" s="327"/>
      <c r="O49" s="91"/>
    </row>
    <row r="50" spans="2:33" ht="18.75" customHeight="1" thickBot="1" x14ac:dyDescent="0.4">
      <c r="B50" s="381" t="s">
        <v>146</v>
      </c>
      <c r="C50" s="381"/>
      <c r="D50" s="345" t="s">
        <v>290</v>
      </c>
      <c r="E50" s="156"/>
      <c r="F50" s="328"/>
      <c r="G50" s="161"/>
      <c r="H50" s="43"/>
      <c r="I50" s="263"/>
      <c r="J50" s="43"/>
      <c r="K50" s="43"/>
      <c r="M50" s="30"/>
      <c r="N50" s="331"/>
      <c r="O50" s="82"/>
      <c r="Q50" s="298"/>
      <c r="R50" s="43"/>
      <c r="S50" s="380" t="s">
        <v>148</v>
      </c>
      <c r="T50" s="380"/>
      <c r="U50" s="172"/>
      <c r="V50" s="48"/>
      <c r="W50" s="44"/>
      <c r="X50" s="43"/>
      <c r="Y50" s="43"/>
      <c r="Z50" s="43"/>
      <c r="AA50" s="34"/>
      <c r="AD50" s="31"/>
    </row>
    <row r="51" spans="2:33" x14ac:dyDescent="0.35">
      <c r="B51" s="34"/>
      <c r="C51" s="376" t="s">
        <v>221</v>
      </c>
      <c r="D51" s="377"/>
      <c r="E51" s="377"/>
      <c r="F51" s="377"/>
      <c r="G51" s="377"/>
      <c r="H51" s="377"/>
      <c r="I51" s="378"/>
      <c r="J51" s="61"/>
      <c r="K51" s="376" t="s">
        <v>220</v>
      </c>
      <c r="L51" s="377"/>
      <c r="M51" s="377"/>
      <c r="N51" s="377"/>
      <c r="O51" s="377"/>
      <c r="P51" s="377"/>
      <c r="Q51" s="378"/>
      <c r="R51" s="34"/>
      <c r="S51" s="376" t="s">
        <v>221</v>
      </c>
      <c r="T51" s="377"/>
      <c r="U51" s="377"/>
      <c r="V51" s="377"/>
      <c r="W51" s="377"/>
      <c r="X51" s="377"/>
      <c r="Y51" s="378"/>
      <c r="Z51" s="61"/>
      <c r="AA51" s="376" t="s">
        <v>220</v>
      </c>
      <c r="AB51" s="377"/>
      <c r="AC51" s="377"/>
      <c r="AD51" s="377"/>
      <c r="AE51" s="377"/>
      <c r="AF51" s="377"/>
      <c r="AG51" s="378"/>
    </row>
    <row r="52" spans="2:33" x14ac:dyDescent="0.35">
      <c r="B52" s="31"/>
      <c r="C52" s="62"/>
      <c r="D52" s="45" t="s">
        <v>279</v>
      </c>
      <c r="E52" s="32" t="s">
        <v>226</v>
      </c>
      <c r="F52" s="329" t="s">
        <v>145</v>
      </c>
      <c r="G52" s="159" t="s">
        <v>445</v>
      </c>
      <c r="H52" s="32" t="s">
        <v>144</v>
      </c>
      <c r="I52" s="257" t="s">
        <v>166</v>
      </c>
      <c r="J52" s="55"/>
      <c r="K52" s="62"/>
      <c r="L52" s="45" t="s">
        <v>225</v>
      </c>
      <c r="M52" s="32" t="s">
        <v>226</v>
      </c>
      <c r="N52" s="329" t="s">
        <v>145</v>
      </c>
      <c r="O52" s="159" t="s">
        <v>445</v>
      </c>
      <c r="P52" s="32" t="s">
        <v>144</v>
      </c>
      <c r="Q52" s="299" t="s">
        <v>110</v>
      </c>
      <c r="R52" s="31"/>
      <c r="S52" s="62"/>
      <c r="T52" s="45" t="s">
        <v>279</v>
      </c>
      <c r="U52" s="32" t="s">
        <v>226</v>
      </c>
      <c r="V52" s="329" t="s">
        <v>145</v>
      </c>
      <c r="W52" s="159" t="s">
        <v>445</v>
      </c>
      <c r="X52" s="32" t="s">
        <v>144</v>
      </c>
      <c r="Y52" s="257" t="s">
        <v>166</v>
      </c>
      <c r="Z52" s="55"/>
      <c r="AA52" s="62"/>
      <c r="AB52" s="45" t="s">
        <v>225</v>
      </c>
      <c r="AC52" s="32" t="s">
        <v>226</v>
      </c>
      <c r="AD52" s="329" t="s">
        <v>145</v>
      </c>
      <c r="AE52" s="159" t="s">
        <v>445</v>
      </c>
      <c r="AF52" s="32" t="s">
        <v>144</v>
      </c>
      <c r="AG52" s="299" t="s">
        <v>110</v>
      </c>
    </row>
    <row r="53" spans="2:33" ht="19.5" customHeight="1" x14ac:dyDescent="0.35">
      <c r="B53" s="35"/>
      <c r="C53" s="63" t="s">
        <v>273</v>
      </c>
      <c r="D53" s="53">
        <f>' TAM &amp; SOM'!F19</f>
        <v>168.02500000000001</v>
      </c>
      <c r="E53" s="157"/>
      <c r="F53" s="11">
        <f>' TAM &amp; SOM'!C19/' TAM &amp; SOM'!C5</f>
        <v>2.5000000000000001E-2</v>
      </c>
      <c r="G53" s="336"/>
      <c r="H53" s="11">
        <f>I53/(D53*1000000)</f>
        <v>9.3863565689629534E-3</v>
      </c>
      <c r="I53" s="264">
        <f>'Mrkting &amp; BD'!G23</f>
        <v>1577142.5625000002</v>
      </c>
      <c r="K53" s="63" t="s">
        <v>273</v>
      </c>
      <c r="L53" s="53">
        <f>' TAM &amp; SOM'!G5</f>
        <v>7393.1</v>
      </c>
      <c r="M53" s="157">
        <f t="shared" ref="M53:M60" si="3">E17</f>
        <v>0.15</v>
      </c>
      <c r="N53" s="58">
        <f>F53*(1+M53)</f>
        <v>2.8749999999999998E-2</v>
      </c>
      <c r="O53" s="307">
        <f>N53*L53</f>
        <v>212.551625</v>
      </c>
      <c r="P53" s="58">
        <f>H53*1.15</f>
        <v>1.0794310054307395E-2</v>
      </c>
      <c r="Q53" s="300">
        <f>O53*P53*1000000</f>
        <v>2294348.142796875</v>
      </c>
      <c r="R53" s="35"/>
      <c r="S53" s="63" t="s">
        <v>273</v>
      </c>
      <c r="T53" s="53">
        <f>D53</f>
        <v>168.02500000000001</v>
      </c>
      <c r="U53" s="157"/>
      <c r="V53" s="11">
        <f>F53</f>
        <v>2.5000000000000001E-2</v>
      </c>
      <c r="W53" s="336"/>
      <c r="X53" s="11">
        <f>Y53/(T53*1000000)</f>
        <v>9.3863565689629534E-3</v>
      </c>
      <c r="Y53" s="264">
        <f>I53</f>
        <v>1577142.5625000002</v>
      </c>
      <c r="AA53" s="63" t="s">
        <v>273</v>
      </c>
      <c r="AB53" s="53">
        <f>L53</f>
        <v>7393.1</v>
      </c>
      <c r="AC53" s="157">
        <v>0.3</v>
      </c>
      <c r="AD53" s="58">
        <f>V53*(1+AC53)</f>
        <v>3.2500000000000001E-2</v>
      </c>
      <c r="AE53" s="307">
        <f>AD53*AB53</f>
        <v>240.27575000000002</v>
      </c>
      <c r="AF53" s="58">
        <f>X53*1.15</f>
        <v>1.0794310054307395E-2</v>
      </c>
      <c r="AG53" s="300">
        <f>AE53*AF53*1000000</f>
        <v>2593610.9440312507</v>
      </c>
    </row>
    <row r="54" spans="2:33" ht="13.5" customHeight="1" x14ac:dyDescent="0.35">
      <c r="B54" s="39"/>
      <c r="C54" s="64" t="s">
        <v>35</v>
      </c>
      <c r="D54" s="53">
        <f>' TAM &amp; SOM'!F20</f>
        <v>382.52500000000009</v>
      </c>
      <c r="E54" s="157" t="s">
        <v>227</v>
      </c>
      <c r="F54" s="60">
        <v>0</v>
      </c>
      <c r="G54" s="163"/>
      <c r="H54" s="11">
        <v>0</v>
      </c>
      <c r="I54" s="306"/>
      <c r="J54" s="36"/>
      <c r="K54" s="64" t="s">
        <v>35</v>
      </c>
      <c r="L54" s="53">
        <f>' TAM &amp; SOM'!G6</f>
        <v>234455.364</v>
      </c>
      <c r="M54" s="157">
        <f t="shared" si="3"/>
        <v>0.1</v>
      </c>
      <c r="N54" s="332">
        <v>5.0000000000000001E-4</v>
      </c>
      <c r="O54" s="307">
        <f t="shared" ref="O54:O60" si="4">N54*L54</f>
        <v>117.227682</v>
      </c>
      <c r="P54" s="58">
        <v>0.05</v>
      </c>
      <c r="Q54" s="300">
        <f t="shared" ref="Q54:Q60" si="5">O54*P54*1000000</f>
        <v>5861384.1000000006</v>
      </c>
      <c r="R54" s="39"/>
      <c r="S54" s="64" t="s">
        <v>35</v>
      </c>
      <c r="T54" s="53">
        <f t="shared" ref="T54:T60" si="6">D54</f>
        <v>382.52500000000009</v>
      </c>
      <c r="U54" s="157" t="s">
        <v>227</v>
      </c>
      <c r="V54" s="60">
        <v>0</v>
      </c>
      <c r="W54" s="163"/>
      <c r="X54" s="11">
        <v>0</v>
      </c>
      <c r="Y54" s="306"/>
      <c r="Z54" s="36"/>
      <c r="AA54" s="64" t="s">
        <v>35</v>
      </c>
      <c r="AB54" s="53">
        <f t="shared" ref="AB54:AB60" si="7">L54</f>
        <v>234455.364</v>
      </c>
      <c r="AC54" s="157">
        <f t="shared" ref="AC54:AC60" si="8">O18</f>
        <v>0.15</v>
      </c>
      <c r="AD54" s="332">
        <v>5.0000000000000001E-4</v>
      </c>
      <c r="AE54" s="307">
        <f t="shared" ref="AE54:AE60" si="9">AD54*AB54</f>
        <v>117.227682</v>
      </c>
      <c r="AF54" s="58">
        <v>0.05</v>
      </c>
      <c r="AG54" s="300">
        <f t="shared" ref="AG54:AG60" si="10">AE54*AF54*1000000</f>
        <v>5861384.1000000006</v>
      </c>
    </row>
    <row r="55" spans="2:33" ht="18" customHeight="1" x14ac:dyDescent="0.35">
      <c r="B55" s="42"/>
      <c r="C55" s="63" t="s">
        <v>274</v>
      </c>
      <c r="D55" s="53">
        <f>' TAM &amp; SOM'!F21</f>
        <v>1450.0107142857146</v>
      </c>
      <c r="E55" s="157" t="s">
        <v>227</v>
      </c>
      <c r="F55" s="60">
        <v>0</v>
      </c>
      <c r="G55" s="162"/>
      <c r="H55" s="11">
        <v>0</v>
      </c>
      <c r="I55" s="306"/>
      <c r="J55" s="42"/>
      <c r="K55" s="63" t="s">
        <v>274</v>
      </c>
      <c r="L55" s="53">
        <f>' TAM &amp; SOM'!G7</f>
        <v>39819.525000000001</v>
      </c>
      <c r="M55" s="157">
        <f t="shared" si="3"/>
        <v>0.15</v>
      </c>
      <c r="N55" s="332">
        <v>0</v>
      </c>
      <c r="O55" s="307">
        <f t="shared" si="4"/>
        <v>0</v>
      </c>
      <c r="P55" s="58">
        <v>0.03</v>
      </c>
      <c r="Q55" s="300">
        <f t="shared" si="5"/>
        <v>0</v>
      </c>
      <c r="R55" s="42"/>
      <c r="S55" s="63" t="s">
        <v>274</v>
      </c>
      <c r="T55" s="53">
        <f t="shared" si="6"/>
        <v>1450.0107142857146</v>
      </c>
      <c r="U55" s="157" t="s">
        <v>227</v>
      </c>
      <c r="V55" s="60">
        <v>0</v>
      </c>
      <c r="W55" s="162"/>
      <c r="X55" s="11">
        <v>0</v>
      </c>
      <c r="Y55" s="306"/>
      <c r="Z55" s="42"/>
      <c r="AA55" s="63" t="s">
        <v>274</v>
      </c>
      <c r="AB55" s="53">
        <f t="shared" si="7"/>
        <v>39819.525000000001</v>
      </c>
      <c r="AC55" s="157">
        <f t="shared" si="8"/>
        <v>0.2</v>
      </c>
      <c r="AD55" s="332">
        <v>0</v>
      </c>
      <c r="AE55" s="307">
        <f t="shared" si="9"/>
        <v>0</v>
      </c>
      <c r="AF55" s="58">
        <v>0.03</v>
      </c>
      <c r="AG55" s="300">
        <f t="shared" si="10"/>
        <v>0</v>
      </c>
    </row>
    <row r="56" spans="2:33" x14ac:dyDescent="0.35">
      <c r="B56" s="35"/>
      <c r="C56" s="64" t="s">
        <v>58</v>
      </c>
      <c r="D56" s="53">
        <f>' TAM &amp; SOM'!F22</f>
        <v>6251.8181818181811</v>
      </c>
      <c r="E56" s="157" t="s">
        <v>227</v>
      </c>
      <c r="F56" s="60">
        <v>0</v>
      </c>
      <c r="G56" s="82"/>
      <c r="H56" s="11">
        <v>0</v>
      </c>
      <c r="I56" s="306"/>
      <c r="J56" s="35"/>
      <c r="K56" s="64" t="s">
        <v>58</v>
      </c>
      <c r="L56" s="53">
        <f>' TAM &amp; SOM'!G8</f>
        <v>171684.54545454547</v>
      </c>
      <c r="M56" s="157">
        <f t="shared" si="3"/>
        <v>0.15</v>
      </c>
      <c r="N56" s="332">
        <v>0</v>
      </c>
      <c r="O56" s="307">
        <f t="shared" si="4"/>
        <v>0</v>
      </c>
      <c r="P56" s="58">
        <v>0.03</v>
      </c>
      <c r="Q56" s="300">
        <f t="shared" si="5"/>
        <v>0</v>
      </c>
      <c r="R56" s="35"/>
      <c r="S56" s="64" t="s">
        <v>58</v>
      </c>
      <c r="T56" s="53">
        <f t="shared" si="6"/>
        <v>6251.8181818181811</v>
      </c>
      <c r="U56" s="157" t="s">
        <v>227</v>
      </c>
      <c r="V56" s="60">
        <v>0</v>
      </c>
      <c r="W56" s="82"/>
      <c r="X56" s="11">
        <v>0</v>
      </c>
      <c r="Y56" s="306"/>
      <c r="Z56" s="35"/>
      <c r="AA56" s="64" t="s">
        <v>58</v>
      </c>
      <c r="AB56" s="53">
        <f t="shared" si="7"/>
        <v>171684.54545454547</v>
      </c>
      <c r="AC56" s="157">
        <f t="shared" si="8"/>
        <v>0.2</v>
      </c>
      <c r="AD56" s="332">
        <v>0</v>
      </c>
      <c r="AE56" s="307">
        <f t="shared" si="9"/>
        <v>0</v>
      </c>
      <c r="AF56" s="58">
        <v>0.03</v>
      </c>
      <c r="AG56" s="300">
        <f t="shared" si="10"/>
        <v>0</v>
      </c>
    </row>
    <row r="57" spans="2:33" x14ac:dyDescent="0.35">
      <c r="B57" s="36"/>
      <c r="C57" s="64" t="s">
        <v>62</v>
      </c>
      <c r="D57" s="53">
        <f>' TAM &amp; SOM'!F23</f>
        <v>197.32142857142858</v>
      </c>
      <c r="E57" s="157" t="s">
        <v>227</v>
      </c>
      <c r="F57" s="60">
        <v>0</v>
      </c>
      <c r="G57" s="82"/>
      <c r="H57" s="11">
        <v>0</v>
      </c>
      <c r="I57" s="306"/>
      <c r="J57" s="36"/>
      <c r="K57" s="64" t="s">
        <v>62</v>
      </c>
      <c r="L57" s="53">
        <f>' TAM &amp; SOM'!G9</f>
        <v>5418.75</v>
      </c>
      <c r="M57" s="157">
        <f t="shared" si="3"/>
        <v>0.15</v>
      </c>
      <c r="N57" s="332">
        <v>0</v>
      </c>
      <c r="O57" s="307">
        <f t="shared" si="4"/>
        <v>0</v>
      </c>
      <c r="P57" s="58">
        <v>0.04</v>
      </c>
      <c r="Q57" s="300">
        <f t="shared" si="5"/>
        <v>0</v>
      </c>
      <c r="R57" s="36"/>
      <c r="S57" s="64" t="s">
        <v>62</v>
      </c>
      <c r="T57" s="53">
        <f t="shared" si="6"/>
        <v>197.32142857142858</v>
      </c>
      <c r="U57" s="157" t="s">
        <v>227</v>
      </c>
      <c r="V57" s="60">
        <v>0</v>
      </c>
      <c r="W57" s="82"/>
      <c r="X57" s="11">
        <v>0</v>
      </c>
      <c r="Y57" s="306"/>
      <c r="Z57" s="36"/>
      <c r="AA57" s="64" t="s">
        <v>62</v>
      </c>
      <c r="AB57" s="53">
        <f t="shared" si="7"/>
        <v>5418.75</v>
      </c>
      <c r="AC57" s="157">
        <f t="shared" si="8"/>
        <v>0.2</v>
      </c>
      <c r="AD57" s="332">
        <v>0</v>
      </c>
      <c r="AE57" s="307">
        <f t="shared" si="9"/>
        <v>0</v>
      </c>
      <c r="AF57" s="58">
        <v>0.04</v>
      </c>
      <c r="AG57" s="300">
        <f t="shared" si="10"/>
        <v>0</v>
      </c>
    </row>
    <row r="58" spans="2:33" x14ac:dyDescent="0.35">
      <c r="B58" s="35"/>
      <c r="C58" s="64" t="s">
        <v>204</v>
      </c>
      <c r="D58" s="53">
        <f>' TAM &amp; SOM'!F24</f>
        <v>1699.75</v>
      </c>
      <c r="E58" s="157" t="s">
        <v>227</v>
      </c>
      <c r="F58" s="60">
        <v>0</v>
      </c>
      <c r="G58" s="82"/>
      <c r="H58" s="11">
        <v>0</v>
      </c>
      <c r="I58" s="306"/>
      <c r="J58" s="36"/>
      <c r="K58" s="64" t="s">
        <v>204</v>
      </c>
      <c r="L58" s="53">
        <f>' TAM &amp; SOM'!G10</f>
        <v>46677.75</v>
      </c>
      <c r="M58" s="157">
        <f t="shared" si="3"/>
        <v>0.15</v>
      </c>
      <c r="N58" s="332">
        <v>0</v>
      </c>
      <c r="O58" s="307">
        <f t="shared" si="4"/>
        <v>0</v>
      </c>
      <c r="P58" s="58">
        <v>3.5000000000000003E-2</v>
      </c>
      <c r="Q58" s="300">
        <f t="shared" si="5"/>
        <v>0</v>
      </c>
      <c r="R58" s="35"/>
      <c r="S58" s="64" t="s">
        <v>204</v>
      </c>
      <c r="T58" s="53">
        <f t="shared" si="6"/>
        <v>1699.75</v>
      </c>
      <c r="U58" s="157" t="s">
        <v>227</v>
      </c>
      <c r="V58" s="60">
        <v>0</v>
      </c>
      <c r="W58" s="82"/>
      <c r="X58" s="11">
        <v>0</v>
      </c>
      <c r="Y58" s="306"/>
      <c r="Z58" s="36"/>
      <c r="AA58" s="64" t="s">
        <v>204</v>
      </c>
      <c r="AB58" s="53">
        <f t="shared" si="7"/>
        <v>46677.75</v>
      </c>
      <c r="AC58" s="157">
        <f t="shared" si="8"/>
        <v>0.15</v>
      </c>
      <c r="AD58" s="332">
        <v>0</v>
      </c>
      <c r="AE58" s="307">
        <f t="shared" si="9"/>
        <v>0</v>
      </c>
      <c r="AF58" s="58">
        <v>3.5000000000000003E-2</v>
      </c>
      <c r="AG58" s="300">
        <f t="shared" si="10"/>
        <v>0</v>
      </c>
    </row>
    <row r="59" spans="2:33" ht="15" customHeight="1" x14ac:dyDescent="0.35">
      <c r="B59" s="36"/>
      <c r="C59" s="64" t="s">
        <v>207</v>
      </c>
      <c r="D59" s="53">
        <f>' TAM &amp; SOM'!F25</f>
        <v>78</v>
      </c>
      <c r="E59" s="157" t="s">
        <v>227</v>
      </c>
      <c r="F59" s="60">
        <v>0</v>
      </c>
      <c r="G59" s="82"/>
      <c r="H59" s="11">
        <v>0</v>
      </c>
      <c r="I59" s="306"/>
      <c r="J59" s="36"/>
      <c r="K59" s="64" t="s">
        <v>207</v>
      </c>
      <c r="L59" s="53">
        <f>' TAM &amp; SOM'!G11</f>
        <v>2142</v>
      </c>
      <c r="M59" s="157">
        <f t="shared" si="3"/>
        <v>0.1</v>
      </c>
      <c r="N59" s="332">
        <v>5.0000000000000001E-4</v>
      </c>
      <c r="O59" s="307">
        <f t="shared" si="4"/>
        <v>1.071</v>
      </c>
      <c r="P59" s="58">
        <v>0.03</v>
      </c>
      <c r="Q59" s="300">
        <f t="shared" si="5"/>
        <v>32130</v>
      </c>
      <c r="R59" s="36"/>
      <c r="S59" s="64" t="s">
        <v>207</v>
      </c>
      <c r="T59" s="53">
        <f t="shared" si="6"/>
        <v>78</v>
      </c>
      <c r="U59" s="157" t="s">
        <v>227</v>
      </c>
      <c r="V59" s="60">
        <v>0</v>
      </c>
      <c r="W59" s="82"/>
      <c r="X59" s="11">
        <v>0</v>
      </c>
      <c r="Y59" s="306"/>
      <c r="Z59" s="36"/>
      <c r="AA59" s="64" t="s">
        <v>207</v>
      </c>
      <c r="AB59" s="53">
        <f t="shared" si="7"/>
        <v>2142</v>
      </c>
      <c r="AC59" s="157">
        <f t="shared" si="8"/>
        <v>0.2</v>
      </c>
      <c r="AD59" s="332">
        <v>0.01</v>
      </c>
      <c r="AE59" s="307">
        <f t="shared" si="9"/>
        <v>21.42</v>
      </c>
      <c r="AF59" s="58">
        <v>0.03</v>
      </c>
      <c r="AG59" s="300">
        <f t="shared" si="10"/>
        <v>642600.00000000012</v>
      </c>
    </row>
    <row r="60" spans="2:33" x14ac:dyDescent="0.35">
      <c r="B60" s="36"/>
      <c r="C60" s="64" t="s">
        <v>215</v>
      </c>
      <c r="D60" s="53">
        <f>' TAM &amp; SOM'!F26</f>
        <v>6138.9900000000007</v>
      </c>
      <c r="E60" s="157" t="s">
        <v>227</v>
      </c>
      <c r="F60" s="60">
        <v>0</v>
      </c>
      <c r="G60" s="82"/>
      <c r="H60" s="11">
        <v>0</v>
      </c>
      <c r="I60" s="306"/>
      <c r="J60" s="36"/>
      <c r="K60" s="64" t="s">
        <v>215</v>
      </c>
      <c r="L60" s="53">
        <f>' TAM &amp; SOM'!G12</f>
        <v>168586.11000000004</v>
      </c>
      <c r="M60" s="157">
        <f t="shared" si="3"/>
        <v>7.0000000000000007E-2</v>
      </c>
      <c r="N60" s="332">
        <v>0</v>
      </c>
      <c r="O60" s="307">
        <f t="shared" si="4"/>
        <v>0</v>
      </c>
      <c r="P60" s="58">
        <v>0.03</v>
      </c>
      <c r="Q60" s="300">
        <f t="shared" si="5"/>
        <v>0</v>
      </c>
      <c r="R60" s="36"/>
      <c r="S60" s="64" t="s">
        <v>215</v>
      </c>
      <c r="T60" s="53">
        <f t="shared" si="6"/>
        <v>6138.9900000000007</v>
      </c>
      <c r="U60" s="157" t="s">
        <v>227</v>
      </c>
      <c r="V60" s="60">
        <v>0</v>
      </c>
      <c r="W60" s="82"/>
      <c r="X60" s="11">
        <v>0</v>
      </c>
      <c r="Y60" s="306"/>
      <c r="Z60" s="36"/>
      <c r="AA60" s="64" t="s">
        <v>215</v>
      </c>
      <c r="AB60" s="53">
        <f t="shared" si="7"/>
        <v>168586.11000000004</v>
      </c>
      <c r="AC60" s="157">
        <f t="shared" si="8"/>
        <v>0.1</v>
      </c>
      <c r="AD60" s="332">
        <v>0</v>
      </c>
      <c r="AE60" s="307">
        <f t="shared" si="9"/>
        <v>0</v>
      </c>
      <c r="AF60" s="58">
        <v>0.03</v>
      </c>
      <c r="AG60" s="300">
        <f t="shared" si="10"/>
        <v>0</v>
      </c>
    </row>
    <row r="61" spans="2:33" ht="15.75" customHeight="1" x14ac:dyDescent="0.35">
      <c r="B61" s="36"/>
      <c r="C61" s="64" t="s">
        <v>257</v>
      </c>
      <c r="D61" s="53">
        <f>SUM(D53:D60)</f>
        <v>16366.440324675325</v>
      </c>
      <c r="E61" s="157"/>
      <c r="F61" s="60"/>
      <c r="G61" s="82"/>
      <c r="H61" s="100"/>
      <c r="I61" s="306"/>
      <c r="J61" s="36"/>
      <c r="K61" s="64" t="s">
        <v>257</v>
      </c>
      <c r="L61" s="53">
        <f>SUM(L53:L60)</f>
        <v>676177.14445454557</v>
      </c>
      <c r="M61" s="157"/>
      <c r="N61" s="332"/>
      <c r="O61" s="83"/>
      <c r="P61" s="83">
        <f>SUM(O53:O60)</f>
        <v>330.85030700000004</v>
      </c>
      <c r="Q61" s="301"/>
      <c r="R61" s="36"/>
      <c r="S61" s="64" t="s">
        <v>257</v>
      </c>
      <c r="T61" s="53">
        <f>SUM(T53:T60)</f>
        <v>16366.440324675325</v>
      </c>
      <c r="U61" s="157"/>
      <c r="V61" s="60"/>
      <c r="W61" s="82"/>
      <c r="X61" s="100"/>
      <c r="Y61" s="306"/>
      <c r="Z61" s="36"/>
      <c r="AA61" s="64" t="s">
        <v>257</v>
      </c>
      <c r="AB61" s="53">
        <f>SUM(AB53:AB60)</f>
        <v>676177.14445454557</v>
      </c>
      <c r="AC61" s="157"/>
      <c r="AD61" s="332"/>
      <c r="AE61" s="83"/>
      <c r="AF61" s="83">
        <f>SUM(AE53:AE60)</f>
        <v>378.92343200000005</v>
      </c>
      <c r="AG61" s="301"/>
    </row>
    <row r="62" spans="2:33" ht="15" thickBot="1" x14ac:dyDescent="0.4">
      <c r="B62" s="35"/>
      <c r="C62" s="65" t="s">
        <v>116</v>
      </c>
      <c r="D62" s="66"/>
      <c r="E62" s="164">
        <f>SUM(E55:E61)/8</f>
        <v>0</v>
      </c>
      <c r="F62" s="186"/>
      <c r="G62" s="90"/>
      <c r="H62" s="28"/>
      <c r="I62" s="302">
        <f>SUM(I53:I59)</f>
        <v>1577142.5625000002</v>
      </c>
      <c r="J62" s="36"/>
      <c r="K62" s="65" t="s">
        <v>116</v>
      </c>
      <c r="L62" s="66"/>
      <c r="M62" s="164">
        <f>SUM(M55:M61)/8</f>
        <v>9.6250000000000002E-2</v>
      </c>
      <c r="N62" s="186"/>
      <c r="O62" s="90"/>
      <c r="P62" s="28"/>
      <c r="Q62" s="302">
        <f>SUM(Q53:Q61)</f>
        <v>8187862.2427968755</v>
      </c>
      <c r="R62" s="35"/>
      <c r="S62" s="65" t="s">
        <v>116</v>
      </c>
      <c r="T62" s="66"/>
      <c r="U62" s="164">
        <f>SUM(U55:U61)/8</f>
        <v>0</v>
      </c>
      <c r="V62" s="186"/>
      <c r="W62" s="90"/>
      <c r="X62" s="28"/>
      <c r="Y62" s="302">
        <f>SUM(Y53:Y59)</f>
        <v>1577142.5625000002</v>
      </c>
      <c r="Z62" s="36"/>
      <c r="AA62" s="65" t="s">
        <v>116</v>
      </c>
      <c r="AB62" s="66"/>
      <c r="AC62" s="164">
        <f>SUM(AC55:AC61)/8</f>
        <v>0.13125000000000003</v>
      </c>
      <c r="AD62" s="186"/>
      <c r="AE62" s="90"/>
      <c r="AF62" s="28"/>
      <c r="AG62" s="302">
        <f>SUM(AG53:AG61)</f>
        <v>9097595.0440312512</v>
      </c>
    </row>
    <row r="63" spans="2:33" ht="15" thickBot="1" x14ac:dyDescent="0.4">
      <c r="B63" s="36"/>
      <c r="C63" s="29"/>
      <c r="D63" s="38"/>
      <c r="E63" s="30"/>
      <c r="F63" s="11"/>
      <c r="G63" s="82"/>
      <c r="H63" s="37"/>
      <c r="I63" s="252"/>
      <c r="J63" s="36"/>
      <c r="K63" s="29"/>
      <c r="L63" s="11"/>
      <c r="M63" s="30"/>
      <c r="O63" s="82"/>
      <c r="P63" s="38"/>
      <c r="Q63" s="298"/>
      <c r="R63" s="36"/>
      <c r="S63" s="29"/>
      <c r="T63" s="38"/>
      <c r="V63" s="11"/>
      <c r="W63" s="82"/>
      <c r="X63" s="37"/>
      <c r="Y63" s="252"/>
      <c r="Z63" s="36"/>
      <c r="AA63" s="29"/>
      <c r="AB63" s="11"/>
      <c r="AD63" s="191"/>
      <c r="AE63" s="82"/>
      <c r="AF63" s="38"/>
      <c r="AG63" s="298"/>
    </row>
    <row r="64" spans="2:33" x14ac:dyDescent="0.35">
      <c r="B64" s="36"/>
      <c r="C64" s="376" t="s">
        <v>217</v>
      </c>
      <c r="D64" s="377"/>
      <c r="E64" s="377"/>
      <c r="F64" s="377"/>
      <c r="G64" s="377"/>
      <c r="H64" s="377"/>
      <c r="I64" s="378"/>
      <c r="J64" s="36"/>
      <c r="K64" s="376" t="s">
        <v>222</v>
      </c>
      <c r="L64" s="377"/>
      <c r="M64" s="377"/>
      <c r="N64" s="377"/>
      <c r="O64" s="377"/>
      <c r="P64" s="377"/>
      <c r="Q64" s="378"/>
      <c r="R64" s="36"/>
      <c r="S64" s="376" t="s">
        <v>217</v>
      </c>
      <c r="T64" s="377"/>
      <c r="U64" s="377"/>
      <c r="V64" s="377"/>
      <c r="W64" s="377"/>
      <c r="X64" s="377"/>
      <c r="Y64" s="378"/>
      <c r="Z64" s="36"/>
      <c r="AA64" s="376" t="s">
        <v>222</v>
      </c>
      <c r="AB64" s="377"/>
      <c r="AC64" s="377"/>
      <c r="AD64" s="377"/>
      <c r="AE64" s="377"/>
      <c r="AF64" s="377"/>
      <c r="AG64" s="378"/>
    </row>
    <row r="65" spans="2:33" x14ac:dyDescent="0.35">
      <c r="B65" s="36"/>
      <c r="C65" s="62"/>
      <c r="D65" s="45" t="s">
        <v>446</v>
      </c>
      <c r="E65" s="32" t="s">
        <v>226</v>
      </c>
      <c r="F65" s="329" t="s">
        <v>145</v>
      </c>
      <c r="G65" s="159" t="s">
        <v>445</v>
      </c>
      <c r="H65" s="32" t="s">
        <v>144</v>
      </c>
      <c r="I65" s="257" t="s">
        <v>110</v>
      </c>
      <c r="K65" s="62"/>
      <c r="L65" s="45" t="s">
        <v>225</v>
      </c>
      <c r="M65" s="32" t="s">
        <v>226</v>
      </c>
      <c r="N65" s="329" t="s">
        <v>145</v>
      </c>
      <c r="O65" s="159" t="s">
        <v>445</v>
      </c>
      <c r="P65" s="32" t="s">
        <v>143</v>
      </c>
      <c r="Q65" s="299" t="s">
        <v>110</v>
      </c>
      <c r="R65" s="36"/>
      <c r="S65" s="62"/>
      <c r="T65" s="45" t="s">
        <v>446</v>
      </c>
      <c r="U65" s="32" t="s">
        <v>226</v>
      </c>
      <c r="V65" s="329" t="s">
        <v>145</v>
      </c>
      <c r="W65" s="159" t="s">
        <v>445</v>
      </c>
      <c r="X65" s="32" t="s">
        <v>144</v>
      </c>
      <c r="Y65" s="257" t="s">
        <v>110</v>
      </c>
      <c r="AA65" s="62"/>
      <c r="AB65" s="45" t="s">
        <v>225</v>
      </c>
      <c r="AC65" s="32" t="s">
        <v>226</v>
      </c>
      <c r="AD65" s="329" t="s">
        <v>145</v>
      </c>
      <c r="AE65" s="159" t="s">
        <v>445</v>
      </c>
      <c r="AF65" s="32" t="s">
        <v>143</v>
      </c>
      <c r="AG65" s="299" t="s">
        <v>110</v>
      </c>
    </row>
    <row r="66" spans="2:33" ht="20.25" customHeight="1" x14ac:dyDescent="0.35">
      <c r="B66" s="36"/>
      <c r="C66" s="63" t="s">
        <v>273</v>
      </c>
      <c r="D66" s="53">
        <f>' TAM &amp; SOM'!H5</f>
        <v>8132.4100000000008</v>
      </c>
      <c r="E66" s="157">
        <f t="shared" ref="E66:E73" si="11">M53*(1+F17)</f>
        <v>0.1875</v>
      </c>
      <c r="F66" s="58">
        <f>(1+E66)*N53</f>
        <v>3.4140624999999994E-2</v>
      </c>
      <c r="G66" s="307">
        <f>D66*F66</f>
        <v>277.64556015624999</v>
      </c>
      <c r="H66" s="58">
        <f>P53*1.15</f>
        <v>1.2413456562453504E-2</v>
      </c>
      <c r="I66" s="300">
        <f>H66*G66*1000000</f>
        <v>3446541.1007576804</v>
      </c>
      <c r="J66" s="42"/>
      <c r="K66" s="63" t="s">
        <v>273</v>
      </c>
      <c r="L66" s="53">
        <f>' TAM &amp; SOM'!I5</f>
        <v>8945.6510000000017</v>
      </c>
      <c r="M66" s="157">
        <f t="shared" ref="M66:M73" si="12">E66*(1+G17)</f>
        <v>0.234375</v>
      </c>
      <c r="N66" s="58">
        <f>F66*(1+M66)</f>
        <v>4.2142333984374995E-2</v>
      </c>
      <c r="O66" s="307">
        <f>N66*L66</f>
        <v>376.9906121496582</v>
      </c>
      <c r="P66" s="58">
        <f>H66*1.1</f>
        <v>1.3654802218698855E-2</v>
      </c>
      <c r="Q66" s="300">
        <f>P66*O66*1000000</f>
        <v>5147732.247209793</v>
      </c>
      <c r="R66" s="36"/>
      <c r="S66" s="63" t="s">
        <v>273</v>
      </c>
      <c r="T66" s="53">
        <f>D66</f>
        <v>8132.4100000000008</v>
      </c>
      <c r="U66" s="157">
        <f t="shared" ref="U66:U73" si="13">AC53*(1+P17)</f>
        <v>0.36</v>
      </c>
      <c r="V66" s="58">
        <f>(1+U66)*AD53</f>
        <v>4.4199999999999996E-2</v>
      </c>
      <c r="W66" s="307">
        <f>T66*V66</f>
        <v>359.45252199999999</v>
      </c>
      <c r="X66" s="58">
        <f>AF53*1.15</f>
        <v>1.2413456562453504E-2</v>
      </c>
      <c r="Y66" s="300">
        <f>X66*W66*1000000</f>
        <v>4462048.2681113631</v>
      </c>
      <c r="Z66" s="42"/>
      <c r="AA66" s="63" t="s">
        <v>273</v>
      </c>
      <c r="AB66" s="53">
        <f>L66</f>
        <v>8945.6510000000017</v>
      </c>
      <c r="AC66" s="157">
        <f t="shared" ref="AC66:AC73" si="14">U66*(1+Q17)</f>
        <v>0.48599999999999999</v>
      </c>
      <c r="AD66" s="58">
        <f>V66*(1+AC66)</f>
        <v>6.5681199999999995E-2</v>
      </c>
      <c r="AE66" s="307">
        <f>AD66*AB66</f>
        <v>587.56109246120002</v>
      </c>
      <c r="AF66" s="58">
        <f>X66*1.1</f>
        <v>1.3654802218698855E-2</v>
      </c>
      <c r="AG66" s="300">
        <f>AF66*AE66*1000000</f>
        <v>8023030.5089603178</v>
      </c>
    </row>
    <row r="67" spans="2:33" x14ac:dyDescent="0.35">
      <c r="B67" s="36"/>
      <c r="C67" s="64" t="s">
        <v>35</v>
      </c>
      <c r="D67" s="53">
        <f>' TAM &amp; SOM'!H6</f>
        <v>253211.79312000002</v>
      </c>
      <c r="E67" s="157">
        <f t="shared" si="11"/>
        <v>0.12</v>
      </c>
      <c r="F67" s="58">
        <f t="shared" ref="F67:F72" si="15">(1+E67)*N54</f>
        <v>5.6000000000000006E-4</v>
      </c>
      <c r="G67" s="307">
        <f t="shared" ref="G67:G73" si="16">D67*F67</f>
        <v>141.79860414720002</v>
      </c>
      <c r="H67" s="58">
        <f t="shared" ref="H67:H73" si="17">P54*1.15</f>
        <v>5.7499999999999996E-2</v>
      </c>
      <c r="I67" s="300">
        <f t="shared" ref="I67:I73" si="18">H67*G67*1000000</f>
        <v>8153419.7384640006</v>
      </c>
      <c r="J67" s="36"/>
      <c r="K67" s="64" t="s">
        <v>35</v>
      </c>
      <c r="L67" s="53">
        <f>' TAM &amp; SOM'!I6</f>
        <v>273468.73656960006</v>
      </c>
      <c r="M67" s="157">
        <f t="shared" si="12"/>
        <v>0.14399999999999999</v>
      </c>
      <c r="N67" s="58">
        <f>F67*(1+M67)</f>
        <v>6.4064000000000005E-4</v>
      </c>
      <c r="O67" s="307">
        <f t="shared" ref="O67:O73" si="19">N67*L67</f>
        <v>175.1950113959486</v>
      </c>
      <c r="P67" s="58">
        <f t="shared" ref="P67:P73" si="20">H67*1.1</f>
        <v>6.3250000000000001E-2</v>
      </c>
      <c r="Q67" s="300">
        <f t="shared" ref="Q67:Q73" si="21">P67*O67*1000000</f>
        <v>11081084.47079375</v>
      </c>
      <c r="R67" s="36"/>
      <c r="S67" s="64" t="s">
        <v>35</v>
      </c>
      <c r="T67" s="53">
        <f t="shared" ref="T67:T73" si="22">D67</f>
        <v>253211.79312000002</v>
      </c>
      <c r="U67" s="157">
        <f t="shared" si="13"/>
        <v>0.18</v>
      </c>
      <c r="V67" s="58">
        <f t="shared" ref="V67" si="23">(1+U67)*AD54</f>
        <v>5.9000000000000003E-4</v>
      </c>
      <c r="W67" s="307">
        <f t="shared" ref="W67:W73" si="24">T67*V67</f>
        <v>149.39495794080003</v>
      </c>
      <c r="X67" s="58">
        <f t="shared" ref="X67:X73" si="25">AF54*1.15</f>
        <v>5.7499999999999996E-2</v>
      </c>
      <c r="Y67" s="300">
        <f t="shared" ref="Y67:Y73" si="26">X67*W67*1000000</f>
        <v>8590210.0815960001</v>
      </c>
      <c r="Z67" s="36"/>
      <c r="AA67" s="64" t="s">
        <v>35</v>
      </c>
      <c r="AB67" s="53">
        <f t="shared" ref="AB67:AB73" si="27">L67</f>
        <v>273468.73656960006</v>
      </c>
      <c r="AC67" s="157">
        <f t="shared" si="14"/>
        <v>0.22499999999999998</v>
      </c>
      <c r="AD67" s="58">
        <f>V67*(1+AC67)</f>
        <v>7.2275000000000009E-4</v>
      </c>
      <c r="AE67" s="307">
        <f t="shared" ref="AE67:AE73" si="28">AD67*AB67</f>
        <v>197.64952935567848</v>
      </c>
      <c r="AF67" s="58">
        <f t="shared" ref="AF67:AF73" si="29">X67*1.1</f>
        <v>6.3250000000000001E-2</v>
      </c>
      <c r="AG67" s="300">
        <f t="shared" ref="AG67:AG73" si="30">AF67*AE67*1000000</f>
        <v>12501332.731746664</v>
      </c>
    </row>
    <row r="68" spans="2:33" ht="16.5" customHeight="1" x14ac:dyDescent="0.35">
      <c r="B68" s="36"/>
      <c r="C68" s="63" t="s">
        <v>274</v>
      </c>
      <c r="D68" s="53">
        <f>' TAM &amp; SOM'!H7</f>
        <v>41810.501250000001</v>
      </c>
      <c r="E68" s="157">
        <f t="shared" si="11"/>
        <v>0.18</v>
      </c>
      <c r="F68" s="332">
        <v>5.0000000000000001E-4</v>
      </c>
      <c r="G68" s="307">
        <f t="shared" si="16"/>
        <v>20.905250625000001</v>
      </c>
      <c r="H68" s="58">
        <f t="shared" si="17"/>
        <v>3.4499999999999996E-2</v>
      </c>
      <c r="I68" s="300">
        <f t="shared" si="18"/>
        <v>721231.14656249993</v>
      </c>
      <c r="J68" s="35"/>
      <c r="K68" s="63" t="s">
        <v>274</v>
      </c>
      <c r="L68" s="53">
        <f>' TAM &amp; SOM'!I7</f>
        <v>43901.026312500006</v>
      </c>
      <c r="M68" s="157">
        <f t="shared" si="12"/>
        <v>0.216</v>
      </c>
      <c r="N68" s="58">
        <f t="shared" ref="N68:N73" si="31">F68*(1+M68)</f>
        <v>6.0800000000000003E-4</v>
      </c>
      <c r="O68" s="307">
        <f t="shared" si="19"/>
        <v>26.691823998000004</v>
      </c>
      <c r="P68" s="58">
        <f t="shared" si="20"/>
        <v>3.7949999999999998E-2</v>
      </c>
      <c r="Q68" s="300">
        <f t="shared" si="21"/>
        <v>1012954.7207241001</v>
      </c>
      <c r="R68" s="36"/>
      <c r="S68" s="63" t="s">
        <v>274</v>
      </c>
      <c r="T68" s="53">
        <f t="shared" si="22"/>
        <v>41810.501250000001</v>
      </c>
      <c r="U68" s="157">
        <f t="shared" si="13"/>
        <v>0.24</v>
      </c>
      <c r="V68" s="332">
        <v>5.0000000000000001E-4</v>
      </c>
      <c r="W68" s="307">
        <f t="shared" si="24"/>
        <v>20.905250625000001</v>
      </c>
      <c r="X68" s="58">
        <f t="shared" si="25"/>
        <v>3.4499999999999996E-2</v>
      </c>
      <c r="Y68" s="300">
        <f t="shared" si="26"/>
        <v>721231.14656249993</v>
      </c>
      <c r="Z68" s="35"/>
      <c r="AA68" s="63" t="s">
        <v>274</v>
      </c>
      <c r="AB68" s="53">
        <f t="shared" si="27"/>
        <v>43901.026312500006</v>
      </c>
      <c r="AC68" s="157">
        <f t="shared" si="14"/>
        <v>0.3</v>
      </c>
      <c r="AD68" s="58">
        <f t="shared" ref="AD68:AD73" si="32">V68*(1+AC68)</f>
        <v>6.5000000000000008E-4</v>
      </c>
      <c r="AE68" s="307">
        <f t="shared" si="28"/>
        <v>28.535667103125007</v>
      </c>
      <c r="AF68" s="58">
        <f t="shared" si="29"/>
        <v>3.7949999999999998E-2</v>
      </c>
      <c r="AG68" s="300">
        <f t="shared" si="30"/>
        <v>1082928.5665635939</v>
      </c>
    </row>
    <row r="69" spans="2:33" x14ac:dyDescent="0.35">
      <c r="B69" s="36"/>
      <c r="C69" s="64" t="s">
        <v>58</v>
      </c>
      <c r="D69" s="53">
        <f>' TAM &amp; SOM'!H8</f>
        <v>180268.77272727276</v>
      </c>
      <c r="E69" s="157">
        <f t="shared" si="11"/>
        <v>0.18</v>
      </c>
      <c r="F69" s="332">
        <v>5.0000000000000001E-4</v>
      </c>
      <c r="G69" s="307">
        <f t="shared" si="16"/>
        <v>90.134386363636381</v>
      </c>
      <c r="H69" s="58">
        <f t="shared" si="17"/>
        <v>3.4499999999999996E-2</v>
      </c>
      <c r="I69" s="300">
        <f t="shared" si="18"/>
        <v>3109636.3295454546</v>
      </c>
      <c r="J69" s="36"/>
      <c r="K69" s="64" t="s">
        <v>58</v>
      </c>
      <c r="L69" s="53">
        <f>' TAM &amp; SOM'!I8</f>
        <v>189282.21136363642</v>
      </c>
      <c r="M69" s="157">
        <f t="shared" si="12"/>
        <v>0.216</v>
      </c>
      <c r="N69" s="58">
        <f t="shared" si="31"/>
        <v>6.0800000000000003E-4</v>
      </c>
      <c r="O69" s="307">
        <f t="shared" si="19"/>
        <v>115.08358450909095</v>
      </c>
      <c r="P69" s="58">
        <f t="shared" si="20"/>
        <v>3.7949999999999998E-2</v>
      </c>
      <c r="Q69" s="300">
        <f t="shared" si="21"/>
        <v>4367422.0321200015</v>
      </c>
      <c r="R69" s="36"/>
      <c r="S69" s="64" t="s">
        <v>58</v>
      </c>
      <c r="T69" s="53">
        <f t="shared" si="22"/>
        <v>180268.77272727276</v>
      </c>
      <c r="U69" s="157">
        <f t="shared" si="13"/>
        <v>0.24</v>
      </c>
      <c r="V69" s="332">
        <v>1E-3</v>
      </c>
      <c r="W69" s="307">
        <f t="shared" si="24"/>
        <v>180.26877272727276</v>
      </c>
      <c r="X69" s="58">
        <f t="shared" si="25"/>
        <v>3.4499999999999996E-2</v>
      </c>
      <c r="Y69" s="300">
        <f t="shared" si="26"/>
        <v>6219272.6590909092</v>
      </c>
      <c r="Z69" s="36"/>
      <c r="AA69" s="64" t="s">
        <v>58</v>
      </c>
      <c r="AB69" s="53">
        <f t="shared" si="27"/>
        <v>189282.21136363642</v>
      </c>
      <c r="AC69" s="157">
        <f t="shared" si="14"/>
        <v>0.3</v>
      </c>
      <c r="AD69" s="58">
        <f t="shared" si="32"/>
        <v>1.3000000000000002E-3</v>
      </c>
      <c r="AE69" s="307">
        <f t="shared" si="28"/>
        <v>246.06687477272737</v>
      </c>
      <c r="AF69" s="58">
        <f t="shared" si="29"/>
        <v>3.7949999999999998E-2</v>
      </c>
      <c r="AG69" s="300">
        <f t="shared" si="30"/>
        <v>9338237.897625003</v>
      </c>
    </row>
    <row r="70" spans="2:33" x14ac:dyDescent="0.35">
      <c r="B70" s="35"/>
      <c r="C70" s="64" t="s">
        <v>62</v>
      </c>
      <c r="D70" s="53">
        <f>' TAM &amp; SOM'!H9</f>
        <v>5689.6875</v>
      </c>
      <c r="E70" s="157">
        <f t="shared" si="11"/>
        <v>0.17249999999999999</v>
      </c>
      <c r="F70" s="332">
        <v>5.0000000000000001E-4</v>
      </c>
      <c r="G70" s="307">
        <f t="shared" si="16"/>
        <v>2.8448437499999999</v>
      </c>
      <c r="H70" s="58">
        <f t="shared" si="17"/>
        <v>4.5999999999999999E-2</v>
      </c>
      <c r="I70" s="300">
        <f t="shared" si="18"/>
        <v>130862.81249999999</v>
      </c>
      <c r="J70" s="36"/>
      <c r="K70" s="64" t="s">
        <v>62</v>
      </c>
      <c r="L70" s="53">
        <f>' TAM &amp; SOM'!I9</f>
        <v>5974.171875</v>
      </c>
      <c r="M70" s="157">
        <f t="shared" si="12"/>
        <v>0.20699999999999999</v>
      </c>
      <c r="N70" s="58">
        <f t="shared" si="31"/>
        <v>6.0350000000000009E-4</v>
      </c>
      <c r="O70" s="307">
        <f t="shared" si="19"/>
        <v>3.6054127265625007</v>
      </c>
      <c r="P70" s="58">
        <f t="shared" si="20"/>
        <v>5.0600000000000006E-2</v>
      </c>
      <c r="Q70" s="300">
        <f t="shared" si="21"/>
        <v>182433.88396406255</v>
      </c>
      <c r="R70" s="35"/>
      <c r="S70" s="64" t="s">
        <v>62</v>
      </c>
      <c r="T70" s="53">
        <f t="shared" si="22"/>
        <v>5689.6875</v>
      </c>
      <c r="U70" s="157">
        <f t="shared" si="13"/>
        <v>0.22999999999999998</v>
      </c>
      <c r="V70" s="332">
        <v>0</v>
      </c>
      <c r="W70" s="307">
        <f t="shared" si="24"/>
        <v>0</v>
      </c>
      <c r="X70" s="58">
        <f t="shared" si="25"/>
        <v>4.5999999999999999E-2</v>
      </c>
      <c r="Y70" s="300">
        <f t="shared" si="26"/>
        <v>0</v>
      </c>
      <c r="Z70" s="36"/>
      <c r="AA70" s="64" t="s">
        <v>62</v>
      </c>
      <c r="AB70" s="53">
        <f t="shared" si="27"/>
        <v>5974.171875</v>
      </c>
      <c r="AC70" s="157">
        <f t="shared" si="14"/>
        <v>0.27599999999999997</v>
      </c>
      <c r="AD70" s="58">
        <f t="shared" si="32"/>
        <v>0</v>
      </c>
      <c r="AE70" s="307">
        <f t="shared" si="28"/>
        <v>0</v>
      </c>
      <c r="AF70" s="58">
        <f t="shared" si="29"/>
        <v>5.0600000000000006E-2</v>
      </c>
      <c r="AG70" s="300">
        <f t="shared" si="30"/>
        <v>0</v>
      </c>
    </row>
    <row r="71" spans="2:33" ht="15.75" customHeight="1" x14ac:dyDescent="0.35">
      <c r="B71" s="36"/>
      <c r="C71" s="64" t="s">
        <v>204</v>
      </c>
      <c r="D71" s="53">
        <f>' TAM &amp; SOM'!H10</f>
        <v>49011.637500000004</v>
      </c>
      <c r="E71" s="157">
        <f t="shared" si="11"/>
        <v>0.17549999999999999</v>
      </c>
      <c r="F71" s="332">
        <v>5.0000000000000001E-4</v>
      </c>
      <c r="G71" s="307">
        <f t="shared" si="16"/>
        <v>24.505818750000003</v>
      </c>
      <c r="H71" s="58">
        <f t="shared" si="17"/>
        <v>4.0250000000000001E-2</v>
      </c>
      <c r="I71" s="300">
        <f t="shared" si="18"/>
        <v>986359.20468750014</v>
      </c>
      <c r="J71" s="36"/>
      <c r="K71" s="64" t="s">
        <v>204</v>
      </c>
      <c r="L71" s="53">
        <f>' TAM &amp; SOM'!I10</f>
        <v>51462.219375000008</v>
      </c>
      <c r="M71" s="157">
        <f t="shared" si="12"/>
        <v>0.21059999999999998</v>
      </c>
      <c r="N71" s="58">
        <f t="shared" si="31"/>
        <v>6.0529999999999991E-4</v>
      </c>
      <c r="O71" s="307">
        <f t="shared" si="19"/>
        <v>31.1500813876875</v>
      </c>
      <c r="P71" s="58">
        <f t="shared" si="20"/>
        <v>4.4275000000000002E-2</v>
      </c>
      <c r="Q71" s="300">
        <f t="shared" si="21"/>
        <v>1379169.8534398642</v>
      </c>
      <c r="R71" s="36"/>
      <c r="S71" s="64" t="s">
        <v>204</v>
      </c>
      <c r="T71" s="53">
        <f t="shared" si="22"/>
        <v>49011.637500000004</v>
      </c>
      <c r="U71" s="157">
        <f t="shared" si="13"/>
        <v>0.17549999999999999</v>
      </c>
      <c r="V71" s="332">
        <v>1E-3</v>
      </c>
      <c r="W71" s="307">
        <f t="shared" si="24"/>
        <v>49.011637500000006</v>
      </c>
      <c r="X71" s="58">
        <f t="shared" si="25"/>
        <v>4.0250000000000001E-2</v>
      </c>
      <c r="Y71" s="300">
        <f t="shared" si="26"/>
        <v>1972718.4093750003</v>
      </c>
      <c r="Z71" s="36"/>
      <c r="AA71" s="64" t="s">
        <v>204</v>
      </c>
      <c r="AB71" s="53">
        <f t="shared" si="27"/>
        <v>51462.219375000008</v>
      </c>
      <c r="AC71" s="157">
        <f t="shared" si="14"/>
        <v>0.21059999999999998</v>
      </c>
      <c r="AD71" s="58">
        <f t="shared" si="32"/>
        <v>1.2105999999999998E-3</v>
      </c>
      <c r="AE71" s="307">
        <f t="shared" si="28"/>
        <v>62.300162775375</v>
      </c>
      <c r="AF71" s="58">
        <f t="shared" si="29"/>
        <v>4.4275000000000002E-2</v>
      </c>
      <c r="AG71" s="300">
        <f t="shared" si="30"/>
        <v>2758339.7068797285</v>
      </c>
    </row>
    <row r="72" spans="2:33" x14ac:dyDescent="0.35">
      <c r="B72" s="36"/>
      <c r="C72" s="64" t="s">
        <v>207</v>
      </c>
      <c r="D72" s="53">
        <f>' TAM &amp; SOM'!H11</f>
        <v>2249.1</v>
      </c>
      <c r="E72" s="157">
        <f t="shared" si="11"/>
        <v>0.12</v>
      </c>
      <c r="F72" s="58">
        <f t="shared" si="15"/>
        <v>5.6000000000000006E-4</v>
      </c>
      <c r="G72" s="307">
        <f t="shared" si="16"/>
        <v>1.2594960000000002</v>
      </c>
      <c r="H72" s="58">
        <f t="shared" si="17"/>
        <v>3.4499999999999996E-2</v>
      </c>
      <c r="I72" s="300">
        <f t="shared" si="18"/>
        <v>43452.612000000001</v>
      </c>
      <c r="J72" s="36"/>
      <c r="K72" s="64" t="s">
        <v>207</v>
      </c>
      <c r="L72" s="53">
        <f>' TAM &amp; SOM'!I11</f>
        <v>2361.5549999999998</v>
      </c>
      <c r="M72" s="157">
        <f t="shared" si="12"/>
        <v>0.15</v>
      </c>
      <c r="N72" s="58">
        <f t="shared" si="31"/>
        <v>6.4400000000000004E-4</v>
      </c>
      <c r="O72" s="307">
        <f t="shared" si="19"/>
        <v>1.52084142</v>
      </c>
      <c r="P72" s="58">
        <f t="shared" si="20"/>
        <v>3.7949999999999998E-2</v>
      </c>
      <c r="Q72" s="300">
        <f t="shared" si="21"/>
        <v>57715.931889</v>
      </c>
      <c r="R72" s="36"/>
      <c r="S72" s="64" t="s">
        <v>207</v>
      </c>
      <c r="T72" s="53">
        <f t="shared" si="22"/>
        <v>2249.1</v>
      </c>
      <c r="U72" s="157">
        <f t="shared" si="13"/>
        <v>0.24</v>
      </c>
      <c r="V72" s="58">
        <v>0.01</v>
      </c>
      <c r="W72" s="307">
        <f t="shared" si="24"/>
        <v>22.491</v>
      </c>
      <c r="X72" s="58">
        <f t="shared" si="25"/>
        <v>3.4499999999999996E-2</v>
      </c>
      <c r="Y72" s="300">
        <f t="shared" si="26"/>
        <v>775939.49999999988</v>
      </c>
      <c r="Z72" s="36"/>
      <c r="AA72" s="64" t="s">
        <v>207</v>
      </c>
      <c r="AB72" s="53">
        <f t="shared" si="27"/>
        <v>2361.5549999999998</v>
      </c>
      <c r="AC72" s="157">
        <f t="shared" si="14"/>
        <v>0.3</v>
      </c>
      <c r="AD72" s="58">
        <f t="shared" si="32"/>
        <v>1.3000000000000001E-2</v>
      </c>
      <c r="AE72" s="307">
        <f t="shared" si="28"/>
        <v>30.700215</v>
      </c>
      <c r="AF72" s="58">
        <f t="shared" si="29"/>
        <v>3.7949999999999998E-2</v>
      </c>
      <c r="AG72" s="300">
        <f t="shared" si="30"/>
        <v>1165073.1592499998</v>
      </c>
    </row>
    <row r="73" spans="2:33" ht="15.75" customHeight="1" x14ac:dyDescent="0.35">
      <c r="B73" s="36"/>
      <c r="C73" s="64" t="s">
        <v>215</v>
      </c>
      <c r="D73" s="53">
        <f>' TAM &amp; SOM'!H12</f>
        <v>177015.41550000006</v>
      </c>
      <c r="E73" s="157">
        <f t="shared" si="11"/>
        <v>7.8400000000000011E-2</v>
      </c>
      <c r="F73" s="332">
        <v>5.0000000000000001E-4</v>
      </c>
      <c r="G73" s="307">
        <f t="shared" si="16"/>
        <v>88.507707750000037</v>
      </c>
      <c r="H73" s="58">
        <f t="shared" si="17"/>
        <v>3.4499999999999996E-2</v>
      </c>
      <c r="I73" s="300">
        <f t="shared" si="18"/>
        <v>3053515.9173750007</v>
      </c>
      <c r="K73" s="64" t="s">
        <v>215</v>
      </c>
      <c r="L73" s="53">
        <f>' TAM &amp; SOM'!I12</f>
        <v>185866.18627500007</v>
      </c>
      <c r="M73" s="157">
        <f t="shared" si="12"/>
        <v>9.0160000000000004E-2</v>
      </c>
      <c r="N73" s="58">
        <f t="shared" si="31"/>
        <v>5.4507999999999998E-4</v>
      </c>
      <c r="O73" s="307">
        <f t="shared" si="19"/>
        <v>101.31194081477703</v>
      </c>
      <c r="P73" s="58">
        <f t="shared" si="20"/>
        <v>3.7949999999999998E-2</v>
      </c>
      <c r="Q73" s="300">
        <f t="shared" si="21"/>
        <v>3844788.1539207879</v>
      </c>
      <c r="R73" s="36"/>
      <c r="S73" s="64" t="s">
        <v>215</v>
      </c>
      <c r="T73" s="53">
        <f t="shared" si="22"/>
        <v>177015.41550000006</v>
      </c>
      <c r="U73" s="157">
        <f t="shared" si="13"/>
        <v>0.11200000000000002</v>
      </c>
      <c r="V73" s="332">
        <v>5.0000000000000001E-4</v>
      </c>
      <c r="W73" s="307">
        <f t="shared" si="24"/>
        <v>88.507707750000037</v>
      </c>
      <c r="X73" s="58">
        <f t="shared" si="25"/>
        <v>3.4499999999999996E-2</v>
      </c>
      <c r="Y73" s="300">
        <f t="shared" si="26"/>
        <v>3053515.9173750007</v>
      </c>
      <c r="AA73" s="64" t="s">
        <v>215</v>
      </c>
      <c r="AB73" s="53">
        <f t="shared" si="27"/>
        <v>185866.18627500007</v>
      </c>
      <c r="AC73" s="157">
        <f t="shared" si="14"/>
        <v>0.1288</v>
      </c>
      <c r="AD73" s="58">
        <f t="shared" si="32"/>
        <v>5.6440000000000006E-4</v>
      </c>
      <c r="AE73" s="307">
        <f t="shared" si="28"/>
        <v>104.90287553361006</v>
      </c>
      <c r="AF73" s="58">
        <f t="shared" si="29"/>
        <v>3.7949999999999998E-2</v>
      </c>
      <c r="AG73" s="300">
        <f t="shared" si="30"/>
        <v>3981064.1265005018</v>
      </c>
    </row>
    <row r="74" spans="2:33" ht="15.75" customHeight="1" x14ac:dyDescent="0.35">
      <c r="B74" s="36"/>
      <c r="C74" s="64" t="s">
        <v>257</v>
      </c>
      <c r="D74" s="53"/>
      <c r="E74" s="157"/>
      <c r="F74" s="58"/>
      <c r="G74" s="307"/>
      <c r="H74" s="60"/>
      <c r="I74" s="300"/>
      <c r="K74" s="64" t="s">
        <v>257</v>
      </c>
      <c r="L74" s="53"/>
      <c r="M74" s="157"/>
      <c r="N74" s="58"/>
      <c r="O74" s="307"/>
      <c r="P74" s="60"/>
      <c r="Q74" s="300"/>
      <c r="R74" s="36"/>
      <c r="S74" s="64" t="s">
        <v>257</v>
      </c>
      <c r="T74" s="53"/>
      <c r="U74" s="157"/>
      <c r="V74" s="58"/>
      <c r="W74" s="307"/>
      <c r="X74" s="60"/>
      <c r="Y74" s="300"/>
      <c r="AA74" s="64" t="s">
        <v>257</v>
      </c>
      <c r="AB74" s="53"/>
      <c r="AC74" s="157"/>
      <c r="AD74" s="58"/>
      <c r="AE74" s="307"/>
      <c r="AF74" s="60"/>
      <c r="AG74" s="300"/>
    </row>
    <row r="75" spans="2:33" ht="15" thickBot="1" x14ac:dyDescent="0.4">
      <c r="B75" s="36"/>
      <c r="C75" s="65" t="s">
        <v>116</v>
      </c>
      <c r="D75" s="66"/>
      <c r="E75" s="164">
        <f>SUM(E66:E73)/8</f>
        <v>0.1517375</v>
      </c>
      <c r="F75" s="186"/>
      <c r="G75" s="90"/>
      <c r="H75" s="28"/>
      <c r="I75" s="302">
        <f>SUM(I66:I73)</f>
        <v>19645018.861892138</v>
      </c>
      <c r="K75" s="65" t="s">
        <v>116</v>
      </c>
      <c r="L75" s="66"/>
      <c r="M75" s="164">
        <f>SUM(M66:M73)/8</f>
        <v>0.18351687499999997</v>
      </c>
      <c r="N75" s="186"/>
      <c r="O75" s="90"/>
      <c r="P75" s="28"/>
      <c r="Q75" s="302">
        <f>SUM(Q66:Q73)</f>
        <v>27073301.294061359</v>
      </c>
      <c r="R75" s="36"/>
      <c r="S75" s="65" t="s">
        <v>116</v>
      </c>
      <c r="T75" s="66"/>
      <c r="U75" s="164">
        <f>SUM(U66:U73)/8</f>
        <v>0.22218750000000001</v>
      </c>
      <c r="V75" s="186"/>
      <c r="W75" s="90"/>
      <c r="X75" s="28"/>
      <c r="Y75" s="302">
        <f>SUM(Y66:Y73)</f>
        <v>25794935.982110776</v>
      </c>
      <c r="AA75" s="65" t="s">
        <v>116</v>
      </c>
      <c r="AB75" s="66"/>
      <c r="AC75" s="164">
        <f>SUM(AC66:AC73)/8</f>
        <v>0.27829999999999999</v>
      </c>
      <c r="AD75" s="186"/>
      <c r="AE75" s="90"/>
      <c r="AF75" s="28"/>
      <c r="AG75" s="302">
        <f>SUM(AG66:AG73)</f>
        <v>38850006.697525807</v>
      </c>
    </row>
    <row r="76" spans="2:33" ht="15" thickBot="1" x14ac:dyDescent="0.4">
      <c r="B76" s="36"/>
      <c r="C76" s="29"/>
      <c r="D76" s="38"/>
      <c r="E76" s="30"/>
      <c r="F76" s="11"/>
      <c r="G76" s="82"/>
      <c r="H76" s="37"/>
      <c r="I76" s="252"/>
      <c r="K76"/>
      <c r="M76" s="30"/>
      <c r="O76" s="82"/>
      <c r="Q76" s="298"/>
      <c r="R76" s="36"/>
      <c r="S76" s="29"/>
      <c r="T76" s="38"/>
      <c r="V76" s="11"/>
      <c r="W76" s="82"/>
      <c r="X76" s="37"/>
      <c r="Y76" s="252"/>
      <c r="AA76"/>
      <c r="AD76" s="191"/>
      <c r="AE76" s="82"/>
      <c r="AG76" s="298"/>
    </row>
    <row r="77" spans="2:33" x14ac:dyDescent="0.35">
      <c r="B77" s="36"/>
      <c r="C77" s="376" t="s">
        <v>223</v>
      </c>
      <c r="D77" s="377"/>
      <c r="E77" s="377"/>
      <c r="F77" s="377"/>
      <c r="G77" s="377"/>
      <c r="H77" s="377"/>
      <c r="I77" s="378"/>
      <c r="K77" s="376" t="s">
        <v>447</v>
      </c>
      <c r="L77" s="377"/>
      <c r="M77" s="377"/>
      <c r="N77" s="377"/>
      <c r="O77" s="377"/>
      <c r="P77" s="377"/>
      <c r="Q77" s="378"/>
      <c r="R77" s="36"/>
      <c r="S77" s="376" t="s">
        <v>223</v>
      </c>
      <c r="T77" s="377"/>
      <c r="U77" s="377"/>
      <c r="V77" s="377"/>
      <c r="W77" s="377"/>
      <c r="X77" s="377"/>
      <c r="Y77" s="378"/>
      <c r="AA77" s="376" t="s">
        <v>447</v>
      </c>
      <c r="AB77" s="377"/>
      <c r="AC77" s="377"/>
      <c r="AD77" s="377"/>
      <c r="AE77" s="377"/>
      <c r="AF77" s="377"/>
      <c r="AG77" s="378"/>
    </row>
    <row r="78" spans="2:33" x14ac:dyDescent="0.35">
      <c r="B78"/>
      <c r="C78" s="62"/>
      <c r="D78" s="45" t="s">
        <v>284</v>
      </c>
      <c r="E78" s="32" t="s">
        <v>226</v>
      </c>
      <c r="F78" s="329" t="s">
        <v>145</v>
      </c>
      <c r="G78" s="159" t="s">
        <v>445</v>
      </c>
      <c r="H78" s="32" t="s">
        <v>143</v>
      </c>
      <c r="I78" s="257" t="s">
        <v>110</v>
      </c>
      <c r="K78" s="62"/>
      <c r="L78" s="45" t="s">
        <v>225</v>
      </c>
      <c r="M78" s="32" t="s">
        <v>226</v>
      </c>
      <c r="N78" s="329" t="s">
        <v>145</v>
      </c>
      <c r="O78" s="159" t="s">
        <v>445</v>
      </c>
      <c r="P78" s="32" t="s">
        <v>143</v>
      </c>
      <c r="Q78" s="299" t="s">
        <v>110</v>
      </c>
      <c r="S78" s="62"/>
      <c r="T78" s="45" t="s">
        <v>284</v>
      </c>
      <c r="U78" s="32" t="s">
        <v>226</v>
      </c>
      <c r="V78" s="329" t="s">
        <v>145</v>
      </c>
      <c r="W78" s="159" t="s">
        <v>445</v>
      </c>
      <c r="X78" s="32" t="s">
        <v>143</v>
      </c>
      <c r="Y78" s="257" t="s">
        <v>110</v>
      </c>
      <c r="AA78" s="62"/>
      <c r="AB78" s="45" t="s">
        <v>225</v>
      </c>
      <c r="AC78" s="32" t="s">
        <v>226</v>
      </c>
      <c r="AD78" s="329" t="s">
        <v>145</v>
      </c>
      <c r="AE78" s="159" t="s">
        <v>445</v>
      </c>
      <c r="AF78" s="32" t="s">
        <v>143</v>
      </c>
      <c r="AG78" s="299" t="s">
        <v>110</v>
      </c>
    </row>
    <row r="79" spans="2:33" ht="19.5" customHeight="1" x14ac:dyDescent="0.35">
      <c r="B79"/>
      <c r="C79" s="63" t="s">
        <v>273</v>
      </c>
      <c r="D79" s="53">
        <f>' TAM &amp; SOM'!J5</f>
        <v>9840.2161000000033</v>
      </c>
      <c r="E79" s="157">
        <f t="shared" ref="E79:E86" si="33">M66*(1+H17)</f>
        <v>0.29296875</v>
      </c>
      <c r="F79" s="58">
        <f>N66*(1+E79)</f>
        <v>5.4488720893859859E-2</v>
      </c>
      <c r="G79" s="307">
        <f>F79*D79</f>
        <v>536.18078860816638</v>
      </c>
      <c r="H79" s="58">
        <f>P66*1.1</f>
        <v>1.5020282440568741E-2</v>
      </c>
      <c r="I79" s="300">
        <f>H79*G79*1000000</f>
        <v>8053586.8841015417</v>
      </c>
      <c r="K79" s="63" t="s">
        <v>273</v>
      </c>
      <c r="L79" s="53">
        <f>' TAM &amp; SOM'!K5</f>
        <v>10824.237710000005</v>
      </c>
      <c r="M79" s="157">
        <f t="shared" ref="M79:M86" si="34">E79*(1+I17)</f>
        <v>0.3662109375</v>
      </c>
      <c r="N79" s="58">
        <f>F79*(1+M79)</f>
        <v>7.444308645557611E-2</v>
      </c>
      <c r="O79" s="307">
        <f>N79*L79</f>
        <v>805.78966366123757</v>
      </c>
      <c r="P79" s="58">
        <f>H79</f>
        <v>1.5020282440568741E-2</v>
      </c>
      <c r="Q79" s="300">
        <f>P79*O79*1000000</f>
        <v>12103188.335882677</v>
      </c>
      <c r="S79" s="63" t="s">
        <v>273</v>
      </c>
      <c r="T79" s="53">
        <f>D79</f>
        <v>9840.2161000000033</v>
      </c>
      <c r="U79" s="157">
        <f t="shared" ref="U79:U86" si="35">AC66*(1+R17)</f>
        <v>0.68039999999999989</v>
      </c>
      <c r="V79" s="58">
        <f>AD66*(1+U79)</f>
        <v>0.11037068847999998</v>
      </c>
      <c r="W79" s="307">
        <f>V79*T79</f>
        <v>1086.0714257489806</v>
      </c>
      <c r="X79" s="58">
        <f>AF66*1.1</f>
        <v>1.5020282440568741E-2</v>
      </c>
      <c r="Y79" s="300">
        <f>X79*W79*1000000</f>
        <v>16313099.565380869</v>
      </c>
      <c r="AA79" s="63" t="s">
        <v>273</v>
      </c>
      <c r="AB79" s="53">
        <f>L79</f>
        <v>10824.237710000005</v>
      </c>
      <c r="AC79" s="157">
        <f t="shared" ref="AC79:AC86" si="36">U79*(1+S17)</f>
        <v>0.88451999999999986</v>
      </c>
      <c r="AD79" s="58">
        <f>V79*(1+AC79)</f>
        <v>0.20799576985432952</v>
      </c>
      <c r="AE79" s="307">
        <f>AD79*AB79</f>
        <v>2251.3956555777158</v>
      </c>
      <c r="AF79" s="58">
        <f>X79</f>
        <v>1.5020282440568741E-2</v>
      </c>
      <c r="AG79" s="300">
        <f>AF79*AE79*1000000</f>
        <v>33816598.632246718</v>
      </c>
    </row>
    <row r="80" spans="2:33" x14ac:dyDescent="0.35">
      <c r="B80"/>
      <c r="C80" s="64" t="s">
        <v>35</v>
      </c>
      <c r="D80" s="53">
        <f>' TAM &amp; SOM'!J6</f>
        <v>295346.23549516808</v>
      </c>
      <c r="E80" s="157">
        <f t="shared" si="33"/>
        <v>0.17279999999999998</v>
      </c>
      <c r="F80" s="58">
        <f t="shared" ref="F80:F86" si="37">N67*(1+E80)</f>
        <v>7.5134259200000013E-4</v>
      </c>
      <c r="G80" s="307">
        <f t="shared" ref="G80:G86" si="38">F80*D80</f>
        <v>221.90620611438203</v>
      </c>
      <c r="H80" s="58">
        <f t="shared" ref="H80:H86" si="39">P67*1.1</f>
        <v>6.9575000000000012E-2</v>
      </c>
      <c r="I80" s="300">
        <f t="shared" ref="I80:I86" si="40">H80*G80*1000000</f>
        <v>15439124.290408133</v>
      </c>
      <c r="K80" s="64" t="s">
        <v>35</v>
      </c>
      <c r="L80" s="53">
        <f>' TAM &amp; SOM'!K6</f>
        <v>318973.93433478154</v>
      </c>
      <c r="M80" s="157">
        <f t="shared" si="34"/>
        <v>0.20735999999999996</v>
      </c>
      <c r="N80" s="58">
        <f>F80*(1+M80)</f>
        <v>9.0714099187712012E-4</v>
      </c>
      <c r="O80" s="307">
        <f t="shared" ref="O80:O86" si="41">N80*L80</f>
        <v>289.35433117540111</v>
      </c>
      <c r="P80" s="60">
        <f>P81</f>
        <v>4.8006749999999994E-2</v>
      </c>
      <c r="Q80" s="300">
        <f t="shared" ref="Q80:Q86" si="42">P80*O80*1000000</f>
        <v>13890961.038154686</v>
      </c>
      <c r="S80" s="64" t="s">
        <v>35</v>
      </c>
      <c r="T80" s="53">
        <f t="shared" ref="T80:T86" si="43">D80</f>
        <v>295346.23549516808</v>
      </c>
      <c r="U80" s="157">
        <f t="shared" si="35"/>
        <v>0.29249999999999998</v>
      </c>
      <c r="V80" s="58">
        <f t="shared" ref="V80:V86" si="44">AD67*(1+U80)</f>
        <v>9.341543750000001E-4</v>
      </c>
      <c r="W80" s="307">
        <f t="shared" ref="W80:W86" si="45">V80*T80</f>
        <v>275.89897802759157</v>
      </c>
      <c r="X80" s="58">
        <f t="shared" ref="X80:X86" si="46">AF67*1.1</f>
        <v>6.9575000000000012E-2</v>
      </c>
      <c r="Y80" s="300">
        <f t="shared" ref="Y80:Y86" si="47">X80*W80*1000000</f>
        <v>19195671.396269687</v>
      </c>
      <c r="AA80" s="64" t="s">
        <v>35</v>
      </c>
      <c r="AB80" s="53">
        <f t="shared" ref="AB80:AB86" si="48">L80</f>
        <v>318973.93433478154</v>
      </c>
      <c r="AC80" s="157">
        <f t="shared" si="36"/>
        <v>0.38024999999999998</v>
      </c>
      <c r="AD80" s="58">
        <f>V80*(1+AC80)</f>
        <v>1.2893665760937501E-3</v>
      </c>
      <c r="AE80" s="307">
        <f t="shared" ref="AE80:AE86" si="49">AD80*AB80</f>
        <v>411.27432957638996</v>
      </c>
      <c r="AF80" s="60">
        <f>AF81</f>
        <v>4.8006749999999994E-2</v>
      </c>
      <c r="AG80" s="300">
        <f t="shared" ref="AG80:AG86" si="50">AF80*AE80*1000000</f>
        <v>19743943.921391357</v>
      </c>
    </row>
    <row r="81" spans="2:33" ht="17.25" customHeight="1" x14ac:dyDescent="0.35">
      <c r="B81"/>
      <c r="C81" s="63" t="s">
        <v>274</v>
      </c>
      <c r="D81" s="53">
        <f>' TAM &amp; SOM'!J7</f>
        <v>46096.077628125007</v>
      </c>
      <c r="E81" s="157">
        <f t="shared" si="33"/>
        <v>0.27</v>
      </c>
      <c r="F81" s="58">
        <f t="shared" si="37"/>
        <v>7.7216000000000003E-4</v>
      </c>
      <c r="G81" s="307">
        <f t="shared" si="38"/>
        <v>35.593547301333004</v>
      </c>
      <c r="H81" s="58">
        <f t="shared" si="39"/>
        <v>4.1744999999999997E-2</v>
      </c>
      <c r="I81" s="300">
        <f t="shared" si="40"/>
        <v>1485852.632094146</v>
      </c>
      <c r="K81" s="63" t="s">
        <v>274</v>
      </c>
      <c r="L81" s="53">
        <f>' TAM &amp; SOM'!K7</f>
        <v>48400.88150953126</v>
      </c>
      <c r="M81" s="157">
        <f t="shared" si="34"/>
        <v>0.33750000000000002</v>
      </c>
      <c r="N81" s="58">
        <f t="shared" ref="N81:N86" si="51">F81*(1+M81)</f>
        <v>1.032764E-3</v>
      </c>
      <c r="O81" s="307">
        <f t="shared" si="41"/>
        <v>49.986687991309545</v>
      </c>
      <c r="P81" s="60">
        <f>H81*1.15</f>
        <v>4.8006749999999994E-2</v>
      </c>
      <c r="Q81" s="300">
        <f t="shared" si="42"/>
        <v>2399698.4337267992</v>
      </c>
      <c r="S81" s="63" t="s">
        <v>274</v>
      </c>
      <c r="T81" s="53">
        <f t="shared" si="43"/>
        <v>46096.077628125007</v>
      </c>
      <c r="U81" s="157">
        <f t="shared" si="35"/>
        <v>0.39</v>
      </c>
      <c r="V81" s="58">
        <f t="shared" si="44"/>
        <v>9.0350000000000022E-4</v>
      </c>
      <c r="W81" s="307">
        <f t="shared" si="45"/>
        <v>41.647806137010953</v>
      </c>
      <c r="X81" s="58">
        <f t="shared" si="46"/>
        <v>4.1744999999999997E-2</v>
      </c>
      <c r="Y81" s="300">
        <f t="shared" si="47"/>
        <v>1738587.6671895222</v>
      </c>
      <c r="AA81" s="63" t="s">
        <v>274</v>
      </c>
      <c r="AB81" s="53">
        <f t="shared" si="48"/>
        <v>48400.88150953126</v>
      </c>
      <c r="AC81" s="157">
        <f t="shared" si="36"/>
        <v>0.50700000000000001</v>
      </c>
      <c r="AD81" s="58">
        <f t="shared" ref="AD81:AD86" si="52">V81*(1+AC81)</f>
        <v>1.3615745000000005E-3</v>
      </c>
      <c r="AE81" s="307">
        <f t="shared" si="49"/>
        <v>65.901406040899303</v>
      </c>
      <c r="AF81" s="60">
        <f>X81*1.15</f>
        <v>4.8006749999999994E-2</v>
      </c>
      <c r="AG81" s="300">
        <f t="shared" si="50"/>
        <v>3163712.324453942</v>
      </c>
    </row>
    <row r="82" spans="2:33" x14ac:dyDescent="0.35">
      <c r="B82" s="35"/>
      <c r="C82" s="64" t="s">
        <v>58</v>
      </c>
      <c r="D82" s="53">
        <f>' TAM &amp; SOM'!J8</f>
        <v>198746.32193181824</v>
      </c>
      <c r="E82" s="157">
        <f t="shared" si="33"/>
        <v>0.25919999999999999</v>
      </c>
      <c r="F82" s="58">
        <f t="shared" si="37"/>
        <v>7.6559359999999995E-4</v>
      </c>
      <c r="G82" s="307">
        <f t="shared" si="38"/>
        <v>152.15891209453966</v>
      </c>
      <c r="H82" s="58">
        <f t="shared" si="39"/>
        <v>4.1744999999999997E-2</v>
      </c>
      <c r="I82" s="300">
        <f t="shared" si="40"/>
        <v>6351873.7853865577</v>
      </c>
      <c r="K82" s="64" t="s">
        <v>58</v>
      </c>
      <c r="L82" s="53">
        <f>' TAM &amp; SOM'!K8</f>
        <v>208683.63802840916</v>
      </c>
      <c r="M82" s="157">
        <f t="shared" si="34"/>
        <v>0.32399999999999995</v>
      </c>
      <c r="N82" s="58">
        <f t="shared" si="51"/>
        <v>1.0136459263999998E-3</v>
      </c>
      <c r="O82" s="307">
        <f t="shared" si="41"/>
        <v>211.53131959382901</v>
      </c>
      <c r="P82" s="60">
        <f t="shared" ref="P82:P86" si="53">H82*1.15</f>
        <v>4.8006749999999994E-2</v>
      </c>
      <c r="Q82" s="300">
        <f t="shared" si="42"/>
        <v>10154931.176911049</v>
      </c>
      <c r="R82" s="35"/>
      <c r="S82" s="64" t="s">
        <v>58</v>
      </c>
      <c r="T82" s="53">
        <f t="shared" si="43"/>
        <v>198746.32193181824</v>
      </c>
      <c r="U82" s="157">
        <f t="shared" si="35"/>
        <v>0.375</v>
      </c>
      <c r="V82" s="58">
        <f t="shared" si="44"/>
        <v>1.7875000000000002E-3</v>
      </c>
      <c r="W82" s="307">
        <f t="shared" si="45"/>
        <v>355.25905045312516</v>
      </c>
      <c r="X82" s="58">
        <f t="shared" si="46"/>
        <v>4.1744999999999997E-2</v>
      </c>
      <c r="Y82" s="300">
        <f t="shared" si="47"/>
        <v>14830289.061165709</v>
      </c>
      <c r="AA82" s="64" t="s">
        <v>58</v>
      </c>
      <c r="AB82" s="53">
        <f t="shared" si="48"/>
        <v>208683.63802840916</v>
      </c>
      <c r="AC82" s="157">
        <f t="shared" si="36"/>
        <v>0.48750000000000004</v>
      </c>
      <c r="AD82" s="58">
        <f t="shared" si="52"/>
        <v>2.6589062500000002E-3</v>
      </c>
      <c r="AE82" s="307">
        <f t="shared" si="49"/>
        <v>554.87022942647479</v>
      </c>
      <c r="AF82" s="60">
        <f t="shared" ref="AF82" si="54">X82*1.15</f>
        <v>4.8006749999999994E-2</v>
      </c>
      <c r="AG82" s="300">
        <f t="shared" si="50"/>
        <v>26637516.386519417</v>
      </c>
    </row>
    <row r="83" spans="2:33" x14ac:dyDescent="0.35">
      <c r="B83" s="35"/>
      <c r="C83" s="64" t="s">
        <v>62</v>
      </c>
      <c r="D83" s="53">
        <f>' TAM &amp; SOM'!J9</f>
        <v>6272.8804687500005</v>
      </c>
      <c r="E83" s="157">
        <f t="shared" si="33"/>
        <v>0.25874999999999998</v>
      </c>
      <c r="F83" s="58">
        <f t="shared" si="37"/>
        <v>7.5965562500000014E-4</v>
      </c>
      <c r="G83" s="307">
        <f t="shared" si="38"/>
        <v>4.7652289330385758</v>
      </c>
      <c r="H83" s="58">
        <f t="shared" si="39"/>
        <v>5.5660000000000008E-2</v>
      </c>
      <c r="I83" s="300">
        <f t="shared" si="40"/>
        <v>265232.64241292718</v>
      </c>
      <c r="K83" s="64" t="s">
        <v>62</v>
      </c>
      <c r="L83" s="53">
        <f>' TAM &amp; SOM'!K9</f>
        <v>6586.524492187501</v>
      </c>
      <c r="M83" s="157">
        <f t="shared" si="34"/>
        <v>0.31049999999999994</v>
      </c>
      <c r="N83" s="58">
        <f t="shared" si="51"/>
        <v>9.9552869656250025E-4</v>
      </c>
      <c r="O83" s="307">
        <f t="shared" si="41"/>
        <v>6.5570741425844066</v>
      </c>
      <c r="P83" s="60">
        <v>8.2000000000000003E-2</v>
      </c>
      <c r="Q83" s="300">
        <f t="shared" si="42"/>
        <v>537680.07969192136</v>
      </c>
      <c r="R83" s="35"/>
      <c r="S83" s="64" t="s">
        <v>62</v>
      </c>
      <c r="T83" s="53">
        <f t="shared" si="43"/>
        <v>6272.8804687500005</v>
      </c>
      <c r="U83" s="157">
        <f t="shared" si="35"/>
        <v>0.33671999999999996</v>
      </c>
      <c r="V83" s="58">
        <f t="shared" si="44"/>
        <v>0</v>
      </c>
      <c r="W83" s="307">
        <f t="shared" si="45"/>
        <v>0</v>
      </c>
      <c r="X83" s="58">
        <f t="shared" si="46"/>
        <v>5.5660000000000008E-2</v>
      </c>
      <c r="Y83" s="300">
        <f t="shared" si="47"/>
        <v>0</v>
      </c>
      <c r="AA83" s="64" t="s">
        <v>62</v>
      </c>
      <c r="AB83" s="53">
        <f t="shared" si="48"/>
        <v>6586.524492187501</v>
      </c>
      <c r="AC83" s="157">
        <f t="shared" si="36"/>
        <v>0.42089999999999994</v>
      </c>
      <c r="AD83" s="58">
        <f t="shared" si="52"/>
        <v>0</v>
      </c>
      <c r="AE83" s="307">
        <f t="shared" si="49"/>
        <v>0</v>
      </c>
      <c r="AF83" s="60">
        <v>8.2000000000000003E-2</v>
      </c>
      <c r="AG83" s="300">
        <f t="shared" si="50"/>
        <v>0</v>
      </c>
    </row>
    <row r="84" spans="2:33" ht="18.75" customHeight="1" x14ac:dyDescent="0.35">
      <c r="B84" s="35"/>
      <c r="C84" s="64" t="s">
        <v>204</v>
      </c>
      <c r="D84" s="53">
        <f>' TAM &amp; SOM'!J10</f>
        <v>54035.330343750007</v>
      </c>
      <c r="E84" s="157">
        <f t="shared" si="33"/>
        <v>0.25271999999999994</v>
      </c>
      <c r="F84" s="58">
        <f t="shared" si="37"/>
        <v>7.5827141599999989E-4</v>
      </c>
      <c r="G84" s="307">
        <f t="shared" si="38"/>
        <v>40.973446453783076</v>
      </c>
      <c r="H84" s="58">
        <f t="shared" si="39"/>
        <v>4.8702500000000003E-2</v>
      </c>
      <c r="I84" s="300">
        <f t="shared" si="40"/>
        <v>1995509.2759153703</v>
      </c>
      <c r="K84" s="64" t="s">
        <v>204</v>
      </c>
      <c r="L84" s="53">
        <f>' TAM &amp; SOM'!K10</f>
        <v>56737.096860937512</v>
      </c>
      <c r="M84" s="157">
        <f t="shared" si="34"/>
        <v>0.31589999999999996</v>
      </c>
      <c r="N84" s="58">
        <f t="shared" si="51"/>
        <v>9.9780935631439997E-4</v>
      </c>
      <c r="O84" s="307">
        <f t="shared" si="41"/>
        <v>56.612806097959819</v>
      </c>
      <c r="P84" s="60">
        <f t="shared" si="53"/>
        <v>5.6007874999999999E-2</v>
      </c>
      <c r="Q84" s="300">
        <f t="shared" si="42"/>
        <v>3170762.9673337713</v>
      </c>
      <c r="R84" s="35"/>
      <c r="S84" s="64" t="s">
        <v>204</v>
      </c>
      <c r="T84" s="53">
        <f t="shared" si="43"/>
        <v>54035.330343750007</v>
      </c>
      <c r="U84" s="157">
        <f t="shared" si="35"/>
        <v>0.26324999999999998</v>
      </c>
      <c r="V84" s="58">
        <f t="shared" si="44"/>
        <v>1.5292904499999997E-3</v>
      </c>
      <c r="W84" s="307">
        <f t="shared" si="45"/>
        <v>82.635714657292084</v>
      </c>
      <c r="X84" s="58">
        <f t="shared" si="46"/>
        <v>4.8702500000000003E-2</v>
      </c>
      <c r="Y84" s="300">
        <f t="shared" si="47"/>
        <v>4024565.8930967678</v>
      </c>
      <c r="AA84" s="64" t="s">
        <v>204</v>
      </c>
      <c r="AB84" s="53">
        <f t="shared" si="48"/>
        <v>56737.096860937512</v>
      </c>
      <c r="AC84" s="157">
        <f t="shared" si="36"/>
        <v>0.32906249999999998</v>
      </c>
      <c r="AD84" s="58">
        <f t="shared" si="52"/>
        <v>2.0325225887031246E-3</v>
      </c>
      <c r="AE84" s="307">
        <f t="shared" si="49"/>
        <v>115.31943098729263</v>
      </c>
      <c r="AF84" s="60">
        <f t="shared" ref="AF84:AF86" si="55">X84*1.15</f>
        <v>5.6007874999999999E-2</v>
      </c>
      <c r="AG84" s="300">
        <f t="shared" si="50"/>
        <v>6458796.2758074123</v>
      </c>
    </row>
    <row r="85" spans="2:33" x14ac:dyDescent="0.35">
      <c r="B85" s="35"/>
      <c r="C85" s="64" t="s">
        <v>207</v>
      </c>
      <c r="D85" s="53">
        <f>' TAM &amp; SOM'!J11</f>
        <v>2479.6327499999998</v>
      </c>
      <c r="E85" s="157">
        <f t="shared" si="33"/>
        <v>0.1875</v>
      </c>
      <c r="F85" s="58">
        <f t="shared" si="37"/>
        <v>7.6475000000000002E-4</v>
      </c>
      <c r="G85" s="307">
        <f t="shared" si="38"/>
        <v>1.8962991455624998</v>
      </c>
      <c r="H85" s="58">
        <f t="shared" si="39"/>
        <v>4.1744999999999997E-2</v>
      </c>
      <c r="I85" s="300">
        <f t="shared" si="40"/>
        <v>79161.007831506548</v>
      </c>
      <c r="K85" s="64" t="s">
        <v>207</v>
      </c>
      <c r="L85" s="53">
        <f>' TAM &amp; SOM'!K11</f>
        <v>2603.6143874999998</v>
      </c>
      <c r="M85" s="157">
        <f t="shared" si="34"/>
        <v>0.22499999999999998</v>
      </c>
      <c r="N85" s="58">
        <f t="shared" si="51"/>
        <v>9.3681875000000011E-4</v>
      </c>
      <c r="O85" s="307">
        <f t="shared" si="41"/>
        <v>2.4391147759797658</v>
      </c>
      <c r="P85" s="60">
        <f t="shared" si="53"/>
        <v>4.8006749999999994E-2</v>
      </c>
      <c r="Q85" s="300">
        <f t="shared" si="42"/>
        <v>117093.9732717666</v>
      </c>
      <c r="R85" s="35"/>
      <c r="S85" s="64" t="s">
        <v>207</v>
      </c>
      <c r="T85" s="53">
        <f t="shared" si="43"/>
        <v>2479.6327499999998</v>
      </c>
      <c r="U85" s="157">
        <f t="shared" si="35"/>
        <v>0.39</v>
      </c>
      <c r="V85" s="58">
        <f t="shared" si="44"/>
        <v>1.8070000000000003E-2</v>
      </c>
      <c r="W85" s="307">
        <f t="shared" si="45"/>
        <v>44.806963792499999</v>
      </c>
      <c r="X85" s="58">
        <f t="shared" si="46"/>
        <v>4.1744999999999997E-2</v>
      </c>
      <c r="Y85" s="300">
        <f t="shared" si="47"/>
        <v>1870466.7035179124</v>
      </c>
      <c r="AA85" s="64" t="s">
        <v>207</v>
      </c>
      <c r="AB85" s="53">
        <f t="shared" si="48"/>
        <v>2603.6143874999998</v>
      </c>
      <c r="AC85" s="157">
        <f t="shared" si="36"/>
        <v>0.50700000000000001</v>
      </c>
      <c r="AD85" s="58">
        <f t="shared" si="52"/>
        <v>2.7231490000000007E-2</v>
      </c>
      <c r="AE85" s="307">
        <f t="shared" si="49"/>
        <v>70.900299157062392</v>
      </c>
      <c r="AF85" s="60">
        <f t="shared" si="55"/>
        <v>4.8006749999999994E-2</v>
      </c>
      <c r="AG85" s="300">
        <f t="shared" si="50"/>
        <v>3403692.9365583048</v>
      </c>
    </row>
    <row r="86" spans="2:33" x14ac:dyDescent="0.35">
      <c r="B86" s="35"/>
      <c r="C86" s="64" t="s">
        <v>215</v>
      </c>
      <c r="D86" s="53">
        <f>' TAM &amp; SOM'!J12</f>
        <v>195159.49558875008</v>
      </c>
      <c r="E86" s="157">
        <f t="shared" si="33"/>
        <v>0.1054872</v>
      </c>
      <c r="F86" s="58">
        <f t="shared" si="37"/>
        <v>6.0257896297599993E-4</v>
      </c>
      <c r="G86" s="307">
        <f t="shared" si="38"/>
        <v>117.59900646678825</v>
      </c>
      <c r="H86" s="58">
        <f t="shared" si="39"/>
        <v>4.1744999999999997E-2</v>
      </c>
      <c r="I86" s="300">
        <f t="shared" si="40"/>
        <v>4909170.5249560755</v>
      </c>
      <c r="K86" s="64" t="s">
        <v>215</v>
      </c>
      <c r="L86" s="53">
        <f>' TAM &amp; SOM'!K12</f>
        <v>204917.47036818758</v>
      </c>
      <c r="M86" s="157">
        <f t="shared" si="34"/>
        <v>0.12552976799999999</v>
      </c>
      <c r="N86" s="58">
        <f t="shared" si="51"/>
        <v>6.7822056040005784E-4</v>
      </c>
      <c r="O86" s="307">
        <f t="shared" si="41"/>
        <v>138.97924158887443</v>
      </c>
      <c r="P86" s="60">
        <f t="shared" si="53"/>
        <v>4.8006749999999994E-2</v>
      </c>
      <c r="Q86" s="300">
        <f t="shared" si="42"/>
        <v>6671941.7061466966</v>
      </c>
      <c r="R86" s="35"/>
      <c r="S86" s="64" t="s">
        <v>215</v>
      </c>
      <c r="T86" s="53">
        <f t="shared" si="43"/>
        <v>195159.49558875008</v>
      </c>
      <c r="U86" s="157">
        <f t="shared" si="35"/>
        <v>0.150696</v>
      </c>
      <c r="V86" s="58">
        <f t="shared" si="44"/>
        <v>6.494528224E-4</v>
      </c>
      <c r="W86" s="307">
        <f t="shared" si="45"/>
        <v>126.7468852282741</v>
      </c>
      <c r="X86" s="58">
        <f t="shared" si="46"/>
        <v>4.1744999999999997E-2</v>
      </c>
      <c r="Y86" s="300">
        <f t="shared" si="47"/>
        <v>5291048.7238543015</v>
      </c>
      <c r="AA86" s="64" t="s">
        <v>215</v>
      </c>
      <c r="AB86" s="53">
        <f t="shared" si="48"/>
        <v>204917.47036818758</v>
      </c>
      <c r="AC86" s="157">
        <f t="shared" si="36"/>
        <v>0.17932824</v>
      </c>
      <c r="AD86" s="58">
        <f t="shared" si="52"/>
        <v>7.6591805400402465E-4</v>
      </c>
      <c r="AE86" s="307">
        <f t="shared" si="49"/>
        <v>156.94999013582961</v>
      </c>
      <c r="AF86" s="60">
        <f t="shared" si="55"/>
        <v>4.8006749999999994E-2</v>
      </c>
      <c r="AG86" s="300">
        <f t="shared" si="50"/>
        <v>7534658.9389532376</v>
      </c>
    </row>
    <row r="87" spans="2:33" x14ac:dyDescent="0.35">
      <c r="B87" s="35"/>
      <c r="C87" s="64" t="s">
        <v>257</v>
      </c>
      <c r="D87" s="53"/>
      <c r="E87" s="157"/>
      <c r="F87" s="58"/>
      <c r="G87" s="307"/>
      <c r="H87" s="58"/>
      <c r="I87" s="300"/>
      <c r="K87" s="64"/>
      <c r="L87" s="53"/>
      <c r="M87" s="157"/>
      <c r="N87" s="58"/>
      <c r="O87" s="307"/>
      <c r="P87" s="60"/>
      <c r="Q87" s="300"/>
      <c r="R87" s="35"/>
      <c r="S87" s="64" t="s">
        <v>257</v>
      </c>
      <c r="T87" s="53"/>
      <c r="U87" s="157"/>
      <c r="V87" s="58"/>
      <c r="W87" s="307"/>
      <c r="X87" s="58"/>
      <c r="Y87" s="300"/>
      <c r="AA87" s="64"/>
      <c r="AB87" s="53"/>
      <c r="AC87" s="157"/>
      <c r="AD87" s="58"/>
      <c r="AE87" s="307"/>
      <c r="AF87" s="60"/>
      <c r="AG87" s="300"/>
    </row>
    <row r="88" spans="2:33" ht="15" thickBot="1" x14ac:dyDescent="0.4">
      <c r="B88" s="35"/>
      <c r="C88" s="65" t="s">
        <v>116</v>
      </c>
      <c r="D88" s="66"/>
      <c r="E88" s="164">
        <f>SUM(E79:E86)/8</f>
        <v>0.22492824375000001</v>
      </c>
      <c r="F88" s="186"/>
      <c r="G88" s="90"/>
      <c r="H88" s="28"/>
      <c r="I88" s="302">
        <f>SUM(I79:I86)</f>
        <v>38579511.043106258</v>
      </c>
      <c r="K88" s="65" t="s">
        <v>116</v>
      </c>
      <c r="L88" s="66"/>
      <c r="M88" s="164">
        <f>SUM(M79:M86)/8</f>
        <v>0.27650008818749999</v>
      </c>
      <c r="N88" s="186"/>
      <c r="O88" s="90"/>
      <c r="P88" s="28"/>
      <c r="Q88" s="302">
        <f>SUM(Q79:Q86)</f>
        <v>49046257.711119369</v>
      </c>
      <c r="R88" s="35"/>
      <c r="S88" s="65" t="s">
        <v>116</v>
      </c>
      <c r="T88" s="66"/>
      <c r="U88" s="164">
        <f>SUM(U79:U86)/8</f>
        <v>0.35982074999999997</v>
      </c>
      <c r="V88" s="186"/>
      <c r="W88" s="90"/>
      <c r="X88" s="28"/>
      <c r="Y88" s="302">
        <f>SUM(Y79:Y86)</f>
        <v>63263729.010474779</v>
      </c>
      <c r="AA88" s="65" t="s">
        <v>116</v>
      </c>
      <c r="AB88" s="66"/>
      <c r="AC88" s="164">
        <f>SUM(AC79:AC86)/8</f>
        <v>0.46194509249999999</v>
      </c>
      <c r="AD88" s="186"/>
      <c r="AE88" s="90"/>
      <c r="AF88" s="28"/>
      <c r="AG88" s="302">
        <f>SUM(AG79:AG86)</f>
        <v>100758919.41593038</v>
      </c>
    </row>
    <row r="89" spans="2:33" ht="15" thickBot="1" x14ac:dyDescent="0.4">
      <c r="B89" s="35"/>
      <c r="C89" s="29"/>
      <c r="D89" s="38"/>
      <c r="E89" s="30"/>
      <c r="F89" s="11"/>
      <c r="G89" s="82"/>
      <c r="I89" s="252"/>
      <c r="K89"/>
      <c r="M89" s="30"/>
      <c r="O89" s="82"/>
      <c r="Q89" s="298"/>
      <c r="R89" s="35"/>
      <c r="S89" s="29"/>
      <c r="T89" s="38"/>
      <c r="V89" s="11"/>
      <c r="W89" s="82"/>
      <c r="Y89" s="252"/>
      <c r="AA89"/>
      <c r="AD89" s="191"/>
      <c r="AE89" s="82"/>
      <c r="AG89" s="298"/>
    </row>
    <row r="90" spans="2:33" x14ac:dyDescent="0.35">
      <c r="B90" s="35"/>
      <c r="C90" s="376" t="s">
        <v>448</v>
      </c>
      <c r="D90" s="377"/>
      <c r="E90" s="377"/>
      <c r="F90" s="377"/>
      <c r="G90" s="377"/>
      <c r="H90" s="377"/>
      <c r="I90" s="378"/>
      <c r="K90"/>
      <c r="M90" s="30"/>
      <c r="O90" s="82"/>
      <c r="Q90" s="298"/>
      <c r="R90" s="35"/>
      <c r="S90" s="376" t="s">
        <v>448</v>
      </c>
      <c r="T90" s="377"/>
      <c r="U90" s="377"/>
      <c r="V90" s="377"/>
      <c r="W90" s="377"/>
      <c r="X90" s="377"/>
      <c r="Y90" s="378"/>
      <c r="AA90"/>
      <c r="AD90" s="191"/>
      <c r="AE90" s="82"/>
      <c r="AG90" s="298"/>
    </row>
    <row r="91" spans="2:33" x14ac:dyDescent="0.35">
      <c r="B91" s="35"/>
      <c r="C91" s="62"/>
      <c r="D91" s="45" t="s">
        <v>225</v>
      </c>
      <c r="E91" s="32" t="s">
        <v>226</v>
      </c>
      <c r="F91" s="329" t="s">
        <v>145</v>
      </c>
      <c r="G91" s="159" t="s">
        <v>445</v>
      </c>
      <c r="H91" s="32" t="s">
        <v>143</v>
      </c>
      <c r="I91" s="257" t="s">
        <v>110</v>
      </c>
      <c r="J91" s="31"/>
      <c r="K91" s="31"/>
      <c r="L91" s="31"/>
      <c r="M91" s="158"/>
      <c r="N91" s="331"/>
      <c r="O91" s="160"/>
      <c r="P91" s="31"/>
      <c r="Q91" s="303"/>
      <c r="R91" s="35"/>
      <c r="S91" s="62"/>
      <c r="T91" s="45" t="s">
        <v>225</v>
      </c>
      <c r="U91" s="32" t="s">
        <v>226</v>
      </c>
      <c r="V91" s="329" t="s">
        <v>145</v>
      </c>
      <c r="W91" s="159" t="s">
        <v>445</v>
      </c>
      <c r="X91" s="32" t="s">
        <v>143</v>
      </c>
      <c r="Y91" s="257" t="s">
        <v>110</v>
      </c>
      <c r="Z91" s="31"/>
      <c r="AA91" s="31"/>
      <c r="AB91" s="31"/>
      <c r="AC91" s="158"/>
      <c r="AD91" s="331"/>
      <c r="AE91" s="160"/>
      <c r="AF91" s="31"/>
      <c r="AG91" s="303"/>
    </row>
    <row r="92" spans="2:33" x14ac:dyDescent="0.35">
      <c r="B92" s="35"/>
      <c r="C92" s="63" t="s">
        <v>273</v>
      </c>
      <c r="D92" s="53">
        <f>' TAM &amp; SOM'!L5</f>
        <v>11906.661481000006</v>
      </c>
      <c r="E92" s="157">
        <f t="shared" ref="E92:E99" si="56">M79*(1+J17)</f>
        <v>0.457763671875</v>
      </c>
      <c r="F92" s="58">
        <f>N79*(1+E92)</f>
        <v>0.10852042705718871</v>
      </c>
      <c r="G92" s="307">
        <f>F92*D92</f>
        <v>1292.1159887434997</v>
      </c>
      <c r="H92" s="58">
        <f>P79</f>
        <v>1.5020282440568741E-2</v>
      </c>
      <c r="I92" s="300">
        <f>H92*G92*1000000</f>
        <v>19407947.096902106</v>
      </c>
      <c r="J92" s="31"/>
      <c r="K92" s="31"/>
      <c r="L92" s="31"/>
      <c r="M92" s="32"/>
      <c r="N92" s="331"/>
      <c r="O92" s="159"/>
      <c r="P92" s="31"/>
      <c r="Q92" s="303"/>
      <c r="R92" s="35"/>
      <c r="S92" s="63" t="s">
        <v>273</v>
      </c>
      <c r="T92" s="53">
        <f>D92</f>
        <v>11906.661481000006</v>
      </c>
      <c r="U92" s="157">
        <f t="shared" ref="U92:U99" si="57">AC79*(1+T17)</f>
        <v>1.1498759999999999</v>
      </c>
      <c r="V92" s="58">
        <f>AD79*(1+U92)</f>
        <v>0.44716511371134648</v>
      </c>
      <c r="W92" s="307">
        <f>V92*T92</f>
        <v>5324.2436350738772</v>
      </c>
      <c r="X92" s="58">
        <f>AF79</f>
        <v>1.5020282440568741E-2</v>
      </c>
      <c r="Y92" s="300">
        <f>X92*W92*1000000</f>
        <v>79971643.181210041</v>
      </c>
      <c r="Z92" s="31"/>
      <c r="AA92" s="31"/>
      <c r="AB92" s="31"/>
      <c r="AC92" s="32"/>
      <c r="AD92" s="331"/>
      <c r="AE92" s="159"/>
      <c r="AF92" s="31"/>
      <c r="AG92" s="303"/>
    </row>
    <row r="93" spans="2:33" ht="20.25" customHeight="1" x14ac:dyDescent="0.35">
      <c r="B93" s="35"/>
      <c r="C93" s="64" t="s">
        <v>35</v>
      </c>
      <c r="D93" s="53">
        <f>' TAM &amp; SOM'!L6</f>
        <v>344491.84908156411</v>
      </c>
      <c r="E93" s="157">
        <f t="shared" si="56"/>
        <v>0.24883199999999994</v>
      </c>
      <c r="F93" s="58">
        <f t="shared" ref="F93:F99" si="58">N80*1.4</f>
        <v>1.2699973886279681E-3</v>
      </c>
      <c r="G93" s="307">
        <f t="shared" ref="G93:G99" si="59">F93*D93</f>
        <v>437.50374873720648</v>
      </c>
      <c r="H93" s="60">
        <f>P80*1.15</f>
        <v>5.5207762499999986E-2</v>
      </c>
      <c r="I93" s="300">
        <f t="shared" ref="I93:I99" si="60">H93*G93*1000000</f>
        <v>24153603.053143363</v>
      </c>
      <c r="K93"/>
      <c r="M93" s="30"/>
      <c r="O93" s="82"/>
      <c r="Q93" s="298"/>
      <c r="R93" s="35"/>
      <c r="S93" s="64" t="s">
        <v>35</v>
      </c>
      <c r="T93" s="53">
        <f t="shared" ref="T93:T99" si="61">D93</f>
        <v>344491.84908156411</v>
      </c>
      <c r="U93" s="157">
        <f t="shared" si="57"/>
        <v>0.49432500000000001</v>
      </c>
      <c r="V93" s="58">
        <f t="shared" ref="V93:V99" si="62">AD80*1.4</f>
        <v>1.8051132065312499E-3</v>
      </c>
      <c r="W93" s="307">
        <f t="shared" ref="W93:W99" si="63">V93*T93</f>
        <v>621.84678631950158</v>
      </c>
      <c r="X93" s="60">
        <f>AF80*1.15</f>
        <v>5.5207762499999986E-2</v>
      </c>
      <c r="Y93" s="300">
        <f t="shared" ref="Y93:Y99" si="64">X93*W93*1000000</f>
        <v>34330769.69051528</v>
      </c>
      <c r="AA93"/>
      <c r="AD93" s="191"/>
      <c r="AE93" s="82"/>
      <c r="AG93" s="298"/>
    </row>
    <row r="94" spans="2:33" x14ac:dyDescent="0.35">
      <c r="B94" s="35"/>
      <c r="C94" s="63" t="s">
        <v>274</v>
      </c>
      <c r="D94" s="53">
        <f>' TAM &amp; SOM'!L7</f>
        <v>50820.925585007826</v>
      </c>
      <c r="E94" s="157">
        <f t="shared" si="56"/>
        <v>0.40500000000000003</v>
      </c>
      <c r="F94" s="58">
        <f t="shared" si="58"/>
        <v>1.4458696E-3</v>
      </c>
      <c r="G94" s="307">
        <f t="shared" si="59"/>
        <v>73.480431347225036</v>
      </c>
      <c r="H94" s="60">
        <f t="shared" ref="H94:H99" si="65">P81*1.15</f>
        <v>5.5207762499999986E-2</v>
      </c>
      <c r="I94" s="300">
        <f t="shared" si="60"/>
        <v>4056690.2022151537</v>
      </c>
      <c r="K94"/>
      <c r="M94" s="30"/>
      <c r="O94" s="82"/>
      <c r="Q94" s="298"/>
      <c r="R94" s="35"/>
      <c r="S94" s="63" t="s">
        <v>274</v>
      </c>
      <c r="T94" s="53">
        <f t="shared" si="61"/>
        <v>50820.925585007826</v>
      </c>
      <c r="U94" s="157">
        <f t="shared" si="57"/>
        <v>0.65910000000000002</v>
      </c>
      <c r="V94" s="58">
        <f t="shared" si="62"/>
        <v>1.9062043000000006E-3</v>
      </c>
      <c r="W94" s="307">
        <f t="shared" si="63"/>
        <v>96.875066880121963</v>
      </c>
      <c r="X94" s="60">
        <f t="shared" ref="X94:X95" si="66">AF81*1.15</f>
        <v>5.5207762499999986E-2</v>
      </c>
      <c r="Y94" s="300">
        <f t="shared" si="64"/>
        <v>5348255.684489388</v>
      </c>
      <c r="AA94"/>
      <c r="AD94" s="191"/>
      <c r="AE94" s="82"/>
      <c r="AG94" s="298"/>
    </row>
    <row r="95" spans="2:33" x14ac:dyDescent="0.35">
      <c r="B95" s="35"/>
      <c r="C95" s="64" t="s">
        <v>58</v>
      </c>
      <c r="D95" s="53">
        <f>' TAM &amp; SOM'!L8</f>
        <v>219117.81992982962</v>
      </c>
      <c r="E95" s="157">
        <f t="shared" si="56"/>
        <v>0.38879999999999992</v>
      </c>
      <c r="F95" s="58">
        <f t="shared" si="58"/>
        <v>1.4191042969599996E-3</v>
      </c>
      <c r="G95" s="307">
        <f t="shared" si="59"/>
        <v>310.95103980292868</v>
      </c>
      <c r="H95" s="60">
        <f t="shared" si="65"/>
        <v>5.5207762499999986E-2</v>
      </c>
      <c r="I95" s="300">
        <f t="shared" si="60"/>
        <v>17166911.154568128</v>
      </c>
      <c r="K95"/>
      <c r="M95" s="30"/>
      <c r="O95" s="82"/>
      <c r="Q95" s="298"/>
      <c r="R95" s="35"/>
      <c r="S95" s="64" t="s">
        <v>58</v>
      </c>
      <c r="T95" s="53">
        <f t="shared" si="61"/>
        <v>219117.81992982962</v>
      </c>
      <c r="U95" s="157">
        <f t="shared" si="57"/>
        <v>0.63375000000000004</v>
      </c>
      <c r="V95" s="58">
        <f t="shared" si="62"/>
        <v>3.7224687500000001E-3</v>
      </c>
      <c r="W95" s="307">
        <f t="shared" si="63"/>
        <v>815.659237256918</v>
      </c>
      <c r="X95" s="60">
        <f t="shared" si="66"/>
        <v>5.5207762499999986E-2</v>
      </c>
      <c r="Y95" s="300">
        <f t="shared" si="64"/>
        <v>45030721.451411068</v>
      </c>
      <c r="AA95"/>
      <c r="AD95" s="191"/>
      <c r="AE95" s="82"/>
      <c r="AG95" s="298"/>
    </row>
    <row r="96" spans="2:33" x14ac:dyDescent="0.35">
      <c r="B96" s="42"/>
      <c r="C96" s="64" t="s">
        <v>62</v>
      </c>
      <c r="D96" s="53">
        <f>' TAM &amp; SOM'!L9</f>
        <v>6915.8507167968764</v>
      </c>
      <c r="E96" s="157">
        <f t="shared" si="56"/>
        <v>0.37259999999999993</v>
      </c>
      <c r="F96" s="58">
        <f t="shared" si="58"/>
        <v>1.3937401751875002E-3</v>
      </c>
      <c r="G96" s="307">
        <f t="shared" si="59"/>
        <v>9.6388989895990775</v>
      </c>
      <c r="H96" s="60">
        <f>P83</f>
        <v>8.2000000000000003E-2</v>
      </c>
      <c r="I96" s="300">
        <f t="shared" si="60"/>
        <v>790389.71714712435</v>
      </c>
      <c r="K96"/>
      <c r="M96" s="30"/>
      <c r="O96" s="82"/>
      <c r="Q96" s="298"/>
      <c r="R96" s="42"/>
      <c r="S96" s="64" t="s">
        <v>62</v>
      </c>
      <c r="T96" s="53">
        <f t="shared" si="61"/>
        <v>6915.8507167968764</v>
      </c>
      <c r="U96" s="157">
        <f t="shared" si="57"/>
        <v>0.52612499999999995</v>
      </c>
      <c r="V96" s="58">
        <f t="shared" si="62"/>
        <v>0</v>
      </c>
      <c r="W96" s="307">
        <f t="shared" si="63"/>
        <v>0</v>
      </c>
      <c r="X96" s="60">
        <f>AF83</f>
        <v>8.2000000000000003E-2</v>
      </c>
      <c r="Y96" s="300">
        <f t="shared" si="64"/>
        <v>0</v>
      </c>
      <c r="AA96"/>
      <c r="AD96" s="191"/>
      <c r="AE96" s="82"/>
      <c r="AG96" s="298"/>
    </row>
    <row r="97" spans="1:37" x14ac:dyDescent="0.35">
      <c r="B97" s="35"/>
      <c r="C97" s="64" t="s">
        <v>204</v>
      </c>
      <c r="D97" s="53">
        <f>' TAM &amp; SOM'!L10</f>
        <v>59573.951703984392</v>
      </c>
      <c r="E97" s="157">
        <f t="shared" si="56"/>
        <v>0.39487499999999998</v>
      </c>
      <c r="F97" s="58">
        <f t="shared" si="58"/>
        <v>1.39693309884016E-3</v>
      </c>
      <c r="G97" s="307">
        <f t="shared" si="59"/>
        <v>83.22082496400094</v>
      </c>
      <c r="H97" s="60">
        <f t="shared" si="65"/>
        <v>6.4409056249999999E-2</v>
      </c>
      <c r="I97" s="300">
        <f t="shared" si="60"/>
        <v>5360174.79627774</v>
      </c>
      <c r="K97"/>
      <c r="M97" s="30"/>
      <c r="O97" s="82"/>
      <c r="Q97" s="298"/>
      <c r="R97" s="35"/>
      <c r="S97" s="64" t="s">
        <v>204</v>
      </c>
      <c r="T97" s="53">
        <f t="shared" si="61"/>
        <v>59573.951703984392</v>
      </c>
      <c r="U97" s="157">
        <f t="shared" si="57"/>
        <v>0.41132812499999999</v>
      </c>
      <c r="V97" s="58">
        <f t="shared" si="62"/>
        <v>2.8455316241843744E-3</v>
      </c>
      <c r="W97" s="307">
        <f t="shared" si="63"/>
        <v>169.51956355132018</v>
      </c>
      <c r="X97" s="60">
        <f t="shared" ref="X97:X99" si="67">AF84*1.15</f>
        <v>6.4409056249999999E-2</v>
      </c>
      <c r="Y97" s="300">
        <f t="shared" si="64"/>
        <v>10918595.10425243</v>
      </c>
      <c r="AA97"/>
      <c r="AD97" s="191"/>
      <c r="AE97" s="82"/>
      <c r="AG97" s="298"/>
    </row>
    <row r="98" spans="1:37" x14ac:dyDescent="0.35">
      <c r="B98" s="35"/>
      <c r="C98" s="64" t="s">
        <v>207</v>
      </c>
      <c r="D98" s="53">
        <f>' TAM &amp; SOM'!L11</f>
        <v>2733.7951068749999</v>
      </c>
      <c r="E98" s="157">
        <f t="shared" si="56"/>
        <v>0.28125</v>
      </c>
      <c r="F98" s="58">
        <f t="shared" si="58"/>
        <v>1.3115462500000001E-3</v>
      </c>
      <c r="G98" s="307">
        <f t="shared" si="59"/>
        <v>3.5854987206902558</v>
      </c>
      <c r="H98" s="60">
        <f t="shared" si="65"/>
        <v>5.5207762499999986E-2</v>
      </c>
      <c r="I98" s="300">
        <f t="shared" si="60"/>
        <v>197947.36181592144</v>
      </c>
      <c r="K98"/>
      <c r="M98" s="30"/>
      <c r="O98" s="82"/>
      <c r="Q98" s="298"/>
      <c r="R98" s="35"/>
      <c r="S98" s="64" t="s">
        <v>207</v>
      </c>
      <c r="T98" s="53">
        <f t="shared" si="61"/>
        <v>2733.7951068749999</v>
      </c>
      <c r="U98" s="157">
        <f t="shared" si="57"/>
        <v>0.65910000000000002</v>
      </c>
      <c r="V98" s="58">
        <f t="shared" si="62"/>
        <v>3.8124086000000008E-2</v>
      </c>
      <c r="W98" s="307">
        <f t="shared" si="63"/>
        <v>104.2234397608817</v>
      </c>
      <c r="X98" s="60">
        <f t="shared" si="67"/>
        <v>5.5207762499999986E-2</v>
      </c>
      <c r="Y98" s="300">
        <f t="shared" si="64"/>
        <v>5753942.9092518128</v>
      </c>
      <c r="AA98"/>
      <c r="AD98" s="191"/>
      <c r="AE98" s="82"/>
      <c r="AG98" s="298"/>
    </row>
    <row r="99" spans="1:37" x14ac:dyDescent="0.35">
      <c r="B99" s="35"/>
      <c r="C99" s="64" t="s">
        <v>215</v>
      </c>
      <c r="D99" s="53">
        <f>' TAM &amp; SOM'!L12</f>
        <v>215163.34388659697</v>
      </c>
      <c r="E99" s="157">
        <f t="shared" si="56"/>
        <v>0.15314631695999997</v>
      </c>
      <c r="F99" s="58">
        <f t="shared" si="58"/>
        <v>9.4950878456008091E-4</v>
      </c>
      <c r="G99" s="307">
        <f t="shared" si="59"/>
        <v>204.2994851356454</v>
      </c>
      <c r="H99" s="60">
        <f t="shared" si="65"/>
        <v>5.5207762499999986E-2</v>
      </c>
      <c r="I99" s="300">
        <f t="shared" si="60"/>
        <v>11278917.454240987</v>
      </c>
      <c r="K99"/>
      <c r="M99" s="30"/>
      <c r="O99" s="82"/>
      <c r="Q99" s="298"/>
      <c r="R99" s="35"/>
      <c r="S99" s="64" t="s">
        <v>215</v>
      </c>
      <c r="T99" s="53">
        <f t="shared" si="61"/>
        <v>215163.34388659697</v>
      </c>
      <c r="U99" s="157">
        <f t="shared" si="57"/>
        <v>0.2187804528</v>
      </c>
      <c r="V99" s="58">
        <f t="shared" si="62"/>
        <v>1.0722852756056345E-3</v>
      </c>
      <c r="W99" s="307">
        <f t="shared" si="63"/>
        <v>230.71648549966955</v>
      </c>
      <c r="X99" s="60">
        <f t="shared" si="67"/>
        <v>5.5207762499999986E-2</v>
      </c>
      <c r="Y99" s="300">
        <f t="shared" si="64"/>
        <v>12737340.936300447</v>
      </c>
      <c r="AA99"/>
      <c r="AD99" s="191"/>
      <c r="AE99" s="82"/>
      <c r="AG99" s="298"/>
    </row>
    <row r="100" spans="1:37" ht="29" x14ac:dyDescent="0.35">
      <c r="B100" s="35"/>
      <c r="C100" s="64" t="s">
        <v>229</v>
      </c>
      <c r="D100" s="53"/>
      <c r="E100" s="157">
        <f>SUM(E92:E99)/8</f>
        <v>0.33778337360437494</v>
      </c>
      <c r="F100" s="58"/>
      <c r="G100" s="307"/>
      <c r="H100" s="60"/>
      <c r="I100" s="300"/>
      <c r="K100"/>
      <c r="M100" s="30"/>
      <c r="O100" s="82"/>
      <c r="Q100" s="298"/>
      <c r="R100" s="35"/>
      <c r="S100" s="64" t="s">
        <v>229</v>
      </c>
      <c r="T100" s="53"/>
      <c r="U100" s="157">
        <f>SUM(U92:U99)/8</f>
        <v>0.594048072225</v>
      </c>
      <c r="V100" s="58"/>
      <c r="W100" s="307"/>
      <c r="X100" s="60"/>
      <c r="Y100" s="300"/>
      <c r="AA100"/>
      <c r="AD100" s="191"/>
      <c r="AE100" s="82"/>
      <c r="AG100" s="298"/>
    </row>
    <row r="101" spans="1:37" x14ac:dyDescent="0.35">
      <c r="B101" s="35"/>
      <c r="C101" s="64" t="s">
        <v>257</v>
      </c>
      <c r="D101" s="53">
        <f>SUM(D92:D99)</f>
        <v>910724.19749165478</v>
      </c>
      <c r="E101" s="157"/>
      <c r="F101" s="58"/>
      <c r="G101" s="307"/>
      <c r="H101" s="60"/>
      <c r="I101" s="300"/>
      <c r="K101"/>
      <c r="M101" s="30"/>
      <c r="O101" s="82"/>
      <c r="Q101" s="298"/>
      <c r="R101" s="35"/>
      <c r="S101" s="64" t="s">
        <v>257</v>
      </c>
      <c r="T101" s="53">
        <f>SUM(T92:T99)</f>
        <v>910724.19749165478</v>
      </c>
      <c r="U101" s="157"/>
      <c r="V101" s="58"/>
      <c r="W101" s="307"/>
      <c r="X101" s="60"/>
      <c r="Y101" s="300"/>
      <c r="AA101"/>
      <c r="AD101" s="191"/>
      <c r="AE101" s="82"/>
      <c r="AG101" s="298"/>
    </row>
    <row r="102" spans="1:37" ht="15" thickBot="1" x14ac:dyDescent="0.4">
      <c r="B102" s="35"/>
      <c r="C102" s="65" t="s">
        <v>116</v>
      </c>
      <c r="D102" s="66"/>
      <c r="E102" s="88"/>
      <c r="F102" s="186"/>
      <c r="G102" s="90"/>
      <c r="H102" s="28"/>
      <c r="I102" s="302">
        <f>SUM(I92:I99)</f>
        <v>82412580.836310521</v>
      </c>
      <c r="K102"/>
      <c r="M102" s="30"/>
      <c r="O102" s="82"/>
      <c r="Q102" s="298"/>
      <c r="R102" s="35"/>
      <c r="S102" s="65" t="s">
        <v>116</v>
      </c>
      <c r="T102" s="66"/>
      <c r="U102" s="88"/>
      <c r="V102" s="186"/>
      <c r="W102" s="90"/>
      <c r="X102" s="28"/>
      <c r="Y102" s="302">
        <f>SUM(Y92:Y99)</f>
        <v>194091268.95743045</v>
      </c>
      <c r="AA102"/>
      <c r="AD102" s="191"/>
      <c r="AE102" s="82"/>
      <c r="AG102" s="298"/>
    </row>
    <row r="103" spans="1:37" s="173" customFormat="1" ht="15" thickBot="1" x14ac:dyDescent="0.4">
      <c r="A103" s="176"/>
      <c r="B103" s="101"/>
      <c r="E103" s="180"/>
      <c r="F103" s="330"/>
      <c r="G103" s="181"/>
      <c r="I103" s="261"/>
      <c r="M103" s="180"/>
      <c r="N103" s="330"/>
      <c r="O103" s="181"/>
      <c r="Q103" s="304"/>
      <c r="R103"/>
      <c r="S103" s="101" t="s">
        <v>147</v>
      </c>
      <c r="U103" s="180"/>
      <c r="AA103" s="182"/>
      <c r="AC103" s="180"/>
    </row>
    <row r="104" spans="1:37" s="173" customFormat="1" ht="15" customHeight="1" x14ac:dyDescent="0.35">
      <c r="A104" s="35"/>
      <c r="B104" s="266"/>
      <c r="C104"/>
      <c r="D104"/>
      <c r="E104"/>
      <c r="F104" s="191"/>
      <c r="G104"/>
      <c r="H104"/>
      <c r="I104"/>
      <c r="J104"/>
      <c r="K104"/>
      <c r="L104"/>
      <c r="M104"/>
      <c r="N104" s="191"/>
      <c r="O104"/>
      <c r="P104"/>
      <c r="Q104" s="298"/>
      <c r="R104"/>
      <c r="S104" s="376" t="s">
        <v>149</v>
      </c>
      <c r="T104" s="377"/>
      <c r="U104" s="377"/>
      <c r="V104" s="377"/>
      <c r="W104" s="377"/>
      <c r="X104" s="377"/>
      <c r="Y104" s="378"/>
      <c r="Z104" s="61"/>
      <c r="AA104" s="376" t="s">
        <v>228</v>
      </c>
      <c r="AB104" s="377"/>
      <c r="AC104" s="377"/>
      <c r="AD104" s="377"/>
      <c r="AE104" s="377"/>
      <c r="AF104" s="377"/>
      <c r="AG104" s="378"/>
      <c r="AH104"/>
      <c r="AI104"/>
      <c r="AJ104"/>
      <c r="AK104"/>
    </row>
    <row r="105" spans="1:37" s="173" customFormat="1" x14ac:dyDescent="0.35">
      <c r="A105" s="35"/>
      <c r="B105" s="267"/>
      <c r="C105"/>
      <c r="D105"/>
      <c r="E105"/>
      <c r="F105" s="191"/>
      <c r="G105"/>
      <c r="H105"/>
      <c r="I105"/>
      <c r="J105"/>
      <c r="K105"/>
      <c r="L105"/>
      <c r="M105"/>
      <c r="N105" s="191"/>
      <c r="O105"/>
      <c r="P105"/>
      <c r="Q105" s="298"/>
      <c r="R105"/>
      <c r="S105" s="62"/>
      <c r="T105" s="45" t="s">
        <v>284</v>
      </c>
      <c r="U105" s="32" t="s">
        <v>226</v>
      </c>
      <c r="V105" s="49" t="s">
        <v>145</v>
      </c>
      <c r="W105" s="159" t="s">
        <v>83</v>
      </c>
      <c r="X105" s="32" t="s">
        <v>143</v>
      </c>
      <c r="Y105" s="257" t="s">
        <v>110</v>
      </c>
      <c r="Z105" s="55"/>
      <c r="AA105" s="62"/>
      <c r="AB105" s="45" t="s">
        <v>284</v>
      </c>
      <c r="AC105" s="32" t="s">
        <v>226</v>
      </c>
      <c r="AD105" s="49" t="s">
        <v>145</v>
      </c>
      <c r="AE105" s="159" t="s">
        <v>83</v>
      </c>
      <c r="AF105" s="32" t="s">
        <v>144</v>
      </c>
      <c r="AG105" s="257" t="s">
        <v>110</v>
      </c>
      <c r="AH105"/>
      <c r="AI105"/>
      <c r="AJ105"/>
      <c r="AK105"/>
    </row>
    <row r="106" spans="1:37" s="173" customFormat="1" x14ac:dyDescent="0.35">
      <c r="A106" s="35"/>
      <c r="B106"/>
      <c r="C106"/>
      <c r="D106"/>
      <c r="E106"/>
      <c r="F106" s="191"/>
      <c r="G106"/>
      <c r="H106"/>
      <c r="I106"/>
      <c r="J106"/>
      <c r="K106"/>
      <c r="L106"/>
      <c r="M106"/>
      <c r="N106" s="191"/>
      <c r="O106"/>
      <c r="P106"/>
      <c r="Q106" s="298"/>
      <c r="R106"/>
      <c r="S106" s="63" t="s">
        <v>273</v>
      </c>
      <c r="T106" s="53">
        <f>D53</f>
        <v>168.02500000000001</v>
      </c>
      <c r="U106" s="157"/>
      <c r="V106" s="50">
        <v>5.0000000000000001E-3</v>
      </c>
      <c r="W106" s="82">
        <f>V106*T106</f>
        <v>0.84012500000000001</v>
      </c>
      <c r="X106" s="11">
        <v>1.7500000000000002E-2</v>
      </c>
      <c r="Y106" s="264">
        <f>X106*W106*1000000</f>
        <v>14702.187500000002</v>
      </c>
      <c r="Z106"/>
      <c r="AA106" s="63" t="s">
        <v>273</v>
      </c>
      <c r="AB106" s="53">
        <f>L53</f>
        <v>7393.1</v>
      </c>
      <c r="AC106" s="157">
        <f>(AE106-W106)/W106</f>
        <v>378.49999999999994</v>
      </c>
      <c r="AD106" s="57">
        <f>N53*1.5</f>
        <v>4.3124999999999997E-2</v>
      </c>
      <c r="AE106" s="83">
        <f>AD106*AB106</f>
        <v>318.82743749999997</v>
      </c>
      <c r="AF106" s="58">
        <v>1.7500000000000002E-2</v>
      </c>
      <c r="AG106" s="258">
        <f>AF106*AE106*1000000</f>
        <v>5579480.15625</v>
      </c>
      <c r="AH106"/>
      <c r="AI106"/>
      <c r="AJ106"/>
      <c r="AK106"/>
    </row>
    <row r="107" spans="1:37" s="173" customFormat="1" ht="15.75" customHeight="1" x14ac:dyDescent="0.35">
      <c r="A107" s="35"/>
      <c r="B107" s="42"/>
      <c r="C107"/>
      <c r="D107"/>
      <c r="E107"/>
      <c r="F107" s="191"/>
      <c r="G107"/>
      <c r="H107"/>
      <c r="I107"/>
      <c r="J107"/>
      <c r="K107"/>
      <c r="L107"/>
      <c r="M107"/>
      <c r="N107" s="191"/>
      <c r="O107"/>
      <c r="P107"/>
      <c r="Q107" s="298"/>
      <c r="R107"/>
      <c r="S107" s="63" t="s">
        <v>274</v>
      </c>
      <c r="T107" s="53">
        <f>D55</f>
        <v>1450.0107142857146</v>
      </c>
      <c r="U107" s="157"/>
      <c r="V107" s="50">
        <v>1E-3</v>
      </c>
      <c r="W107" s="82">
        <f t="shared" ref="W107:W113" si="68">V107*T107</f>
        <v>1.4500107142857146</v>
      </c>
      <c r="X107" s="11">
        <v>1.7500000000000002E-2</v>
      </c>
      <c r="Y107" s="265"/>
      <c r="Z107" s="42"/>
      <c r="AA107" s="63" t="s">
        <v>274</v>
      </c>
      <c r="AB107" s="53">
        <f>L55</f>
        <v>39819.525000000001</v>
      </c>
      <c r="AC107" s="157">
        <f t="shared" ref="AC107" si="69">(AE107-W107)/W107</f>
        <v>-1</v>
      </c>
      <c r="AD107" s="57">
        <f>N55*1.5</f>
        <v>0</v>
      </c>
      <c r="AE107" s="83">
        <f t="shared" ref="AE107:AE113" si="70">AD107*AB107</f>
        <v>0</v>
      </c>
      <c r="AF107" s="60">
        <v>1.7500000000000002E-2</v>
      </c>
      <c r="AG107" s="258">
        <f t="shared" ref="AG107:AG113" si="71">AF107*AE107*1000000</f>
        <v>0</v>
      </c>
      <c r="AH107"/>
      <c r="AI107"/>
      <c r="AJ107"/>
      <c r="AK107"/>
    </row>
    <row r="108" spans="1:37" s="173" customFormat="1" x14ac:dyDescent="0.35">
      <c r="A108" s="35"/>
      <c r="B108" s="36"/>
      <c r="C108"/>
      <c r="D108"/>
      <c r="E108"/>
      <c r="F108" s="191"/>
      <c r="G108"/>
      <c r="H108"/>
      <c r="I108"/>
      <c r="J108"/>
      <c r="K108"/>
      <c r="L108"/>
      <c r="M108"/>
      <c r="N108" s="191"/>
      <c r="O108"/>
      <c r="P108"/>
      <c r="Q108" s="298"/>
      <c r="R108"/>
      <c r="S108" s="64" t="s">
        <v>35</v>
      </c>
      <c r="T108" s="53">
        <f>D54</f>
        <v>382.52500000000009</v>
      </c>
      <c r="U108" s="157"/>
      <c r="V108" s="50">
        <v>0</v>
      </c>
      <c r="W108" s="82">
        <f t="shared" si="68"/>
        <v>0</v>
      </c>
      <c r="X108" s="11">
        <v>1.7500000000000002E-2</v>
      </c>
      <c r="Y108" s="265"/>
      <c r="Z108" s="36"/>
      <c r="AA108" s="64" t="s">
        <v>35</v>
      </c>
      <c r="AB108" s="53">
        <f>L54</f>
        <v>234455.364</v>
      </c>
      <c r="AC108" s="157">
        <v>0</v>
      </c>
      <c r="AD108" s="57">
        <f>N54*1.5</f>
        <v>7.5000000000000002E-4</v>
      </c>
      <c r="AE108" s="83">
        <f t="shared" si="70"/>
        <v>175.841523</v>
      </c>
      <c r="AF108" s="60">
        <v>1.7500000000000002E-2</v>
      </c>
      <c r="AG108" s="258">
        <f t="shared" si="71"/>
        <v>3077226.6525000003</v>
      </c>
      <c r="AH108"/>
      <c r="AI108"/>
      <c r="AJ108"/>
      <c r="AK108"/>
    </row>
    <row r="109" spans="1:37" s="173" customFormat="1" x14ac:dyDescent="0.35">
      <c r="A109" s="35"/>
      <c r="B109" s="35"/>
      <c r="C109"/>
      <c r="D109"/>
      <c r="E109"/>
      <c r="F109" s="191"/>
      <c r="G109"/>
      <c r="H109"/>
      <c r="I109"/>
      <c r="J109"/>
      <c r="K109"/>
      <c r="L109"/>
      <c r="M109"/>
      <c r="N109" s="191"/>
      <c r="O109"/>
      <c r="P109"/>
      <c r="Q109" s="298"/>
      <c r="R109"/>
      <c r="S109" s="64" t="s">
        <v>58</v>
      </c>
      <c r="T109" s="53">
        <f>D56</f>
        <v>6251.8181818181811</v>
      </c>
      <c r="U109" s="157"/>
      <c r="V109" s="50">
        <f>F56*1.5</f>
        <v>0</v>
      </c>
      <c r="W109" s="82">
        <f t="shared" si="68"/>
        <v>0</v>
      </c>
      <c r="X109" s="11">
        <v>1.7500000000000002E-2</v>
      </c>
      <c r="Y109" s="265"/>
      <c r="Z109" s="35"/>
      <c r="AA109" s="64" t="s">
        <v>58</v>
      </c>
      <c r="AB109" s="53">
        <f>L56</f>
        <v>171684.54545454547</v>
      </c>
      <c r="AC109" s="157">
        <v>0</v>
      </c>
      <c r="AD109" s="57">
        <f>N56*1.5</f>
        <v>0</v>
      </c>
      <c r="AE109" s="83">
        <f t="shared" si="70"/>
        <v>0</v>
      </c>
      <c r="AF109" s="60">
        <v>1.7500000000000002E-2</v>
      </c>
      <c r="AG109" s="258">
        <f t="shared" si="71"/>
        <v>0</v>
      </c>
      <c r="AH109"/>
      <c r="AI109"/>
      <c r="AJ109"/>
      <c r="AK109"/>
    </row>
    <row r="110" spans="1:37" s="173" customFormat="1" x14ac:dyDescent="0.35">
      <c r="A110" s="35"/>
      <c r="B110" s="36"/>
      <c r="C110"/>
      <c r="D110"/>
      <c r="E110"/>
      <c r="F110" s="191"/>
      <c r="G110"/>
      <c r="H110"/>
      <c r="I110"/>
      <c r="J110"/>
      <c r="K110"/>
      <c r="L110"/>
      <c r="M110"/>
      <c r="N110" s="191"/>
      <c r="O110"/>
      <c r="P110"/>
      <c r="Q110" s="298"/>
      <c r="R110"/>
      <c r="S110" s="64" t="s">
        <v>62</v>
      </c>
      <c r="T110" s="53">
        <f>D57</f>
        <v>197.32142857142858</v>
      </c>
      <c r="U110" s="157"/>
      <c r="V110" s="50">
        <f>F57*1.5</f>
        <v>0</v>
      </c>
      <c r="W110" s="82">
        <f t="shared" si="68"/>
        <v>0</v>
      </c>
      <c r="X110" s="11">
        <v>1.7500000000000002E-2</v>
      </c>
      <c r="Y110" s="265"/>
      <c r="Z110" s="36"/>
      <c r="AA110" s="64" t="s">
        <v>62</v>
      </c>
      <c r="AB110" s="53">
        <f>L57</f>
        <v>5418.75</v>
      </c>
      <c r="AC110" s="157">
        <v>0</v>
      </c>
      <c r="AD110" s="57">
        <f>N57*1.5</f>
        <v>0</v>
      </c>
      <c r="AE110" s="83">
        <f t="shared" si="70"/>
        <v>0</v>
      </c>
      <c r="AF110" s="60">
        <v>1.7500000000000002E-2</v>
      </c>
      <c r="AG110" s="258">
        <f t="shared" si="71"/>
        <v>0</v>
      </c>
      <c r="AH110"/>
      <c r="AI110"/>
      <c r="AJ110"/>
      <c r="AK110"/>
    </row>
    <row r="111" spans="1:37" s="173" customFormat="1" x14ac:dyDescent="0.35">
      <c r="A111" s="35"/>
      <c r="B111" s="36"/>
      <c r="C111"/>
      <c r="D111"/>
      <c r="E111"/>
      <c r="F111" s="191"/>
      <c r="G111"/>
      <c r="H111"/>
      <c r="I111"/>
      <c r="J111"/>
      <c r="K111"/>
      <c r="L111"/>
      <c r="M111"/>
      <c r="N111" s="191"/>
      <c r="O111"/>
      <c r="P111"/>
      <c r="Q111" s="298"/>
      <c r="R111"/>
      <c r="S111" s="64" t="s">
        <v>204</v>
      </c>
      <c r="T111" s="53">
        <f>D58</f>
        <v>1699.75</v>
      </c>
      <c r="U111" s="157"/>
      <c r="V111" s="50">
        <f>F58*1.5</f>
        <v>0</v>
      </c>
      <c r="W111" s="82">
        <f t="shared" si="68"/>
        <v>0</v>
      </c>
      <c r="X111" s="11">
        <v>1.7500000000000002E-2</v>
      </c>
      <c r="Y111" s="265"/>
      <c r="Z111" s="36"/>
      <c r="AA111" s="64" t="s">
        <v>204</v>
      </c>
      <c r="AB111" s="53">
        <f>L58</f>
        <v>46677.75</v>
      </c>
      <c r="AC111" s="157">
        <v>0</v>
      </c>
      <c r="AD111" s="57">
        <f>N58*1.5</f>
        <v>0</v>
      </c>
      <c r="AE111" s="83">
        <f t="shared" si="70"/>
        <v>0</v>
      </c>
      <c r="AF111" s="60">
        <v>1.7500000000000002E-2</v>
      </c>
      <c r="AG111" s="258">
        <f t="shared" si="71"/>
        <v>0</v>
      </c>
      <c r="AH111"/>
      <c r="AI111"/>
      <c r="AJ111"/>
      <c r="AK111"/>
    </row>
    <row r="112" spans="1:37" s="173" customFormat="1" x14ac:dyDescent="0.35">
      <c r="A112" s="35"/>
      <c r="B112" s="36"/>
      <c r="C112"/>
      <c r="D112"/>
      <c r="E112"/>
      <c r="F112" s="191"/>
      <c r="G112"/>
      <c r="H112"/>
      <c r="I112"/>
      <c r="J112"/>
      <c r="K112"/>
      <c r="L112"/>
      <c r="M112"/>
      <c r="N112" s="191"/>
      <c r="O112"/>
      <c r="P112"/>
      <c r="Q112" s="298"/>
      <c r="R112"/>
      <c r="S112" s="64" t="s">
        <v>207</v>
      </c>
      <c r="T112" s="53">
        <f>D59</f>
        <v>78</v>
      </c>
      <c r="U112" s="157"/>
      <c r="V112" s="50">
        <f>F59*1.5</f>
        <v>0</v>
      </c>
      <c r="W112" s="82">
        <f t="shared" si="68"/>
        <v>0</v>
      </c>
      <c r="X112" s="11">
        <v>1.7500000000000002E-2</v>
      </c>
      <c r="Y112" s="265"/>
      <c r="Z112" s="36"/>
      <c r="AA112" s="64" t="s">
        <v>207</v>
      </c>
      <c r="AB112" s="53">
        <f>L59</f>
        <v>2142</v>
      </c>
      <c r="AC112" s="157">
        <v>0</v>
      </c>
      <c r="AD112" s="57">
        <f>N59*1.5</f>
        <v>7.5000000000000002E-4</v>
      </c>
      <c r="AE112" s="83">
        <f t="shared" si="70"/>
        <v>1.6065</v>
      </c>
      <c r="AF112" s="60">
        <v>1.7500000000000002E-2</v>
      </c>
      <c r="AG112" s="258">
        <f t="shared" si="71"/>
        <v>28113.750000000004</v>
      </c>
      <c r="AH112"/>
      <c r="AI112"/>
      <c r="AJ112"/>
      <c r="AK112"/>
    </row>
    <row r="113" spans="1:37" s="173" customFormat="1" x14ac:dyDescent="0.35">
      <c r="A113" s="35"/>
      <c r="B113" s="36"/>
      <c r="C113"/>
      <c r="D113"/>
      <c r="E113"/>
      <c r="F113" s="191"/>
      <c r="G113"/>
      <c r="H113"/>
      <c r="I113"/>
      <c r="J113"/>
      <c r="K113"/>
      <c r="L113"/>
      <c r="M113"/>
      <c r="N113" s="191"/>
      <c r="O113"/>
      <c r="P113"/>
      <c r="Q113" s="298"/>
      <c r="R113"/>
      <c r="S113" s="64" t="s">
        <v>215</v>
      </c>
      <c r="T113" s="53">
        <f>D60</f>
        <v>6138.9900000000007</v>
      </c>
      <c r="U113" s="157"/>
      <c r="V113" s="50">
        <f>F60*1.5</f>
        <v>0</v>
      </c>
      <c r="W113" s="82">
        <f t="shared" si="68"/>
        <v>0</v>
      </c>
      <c r="X113" s="11">
        <v>1.7500000000000002E-2</v>
      </c>
      <c r="Y113" s="265"/>
      <c r="Z113" s="36"/>
      <c r="AA113" s="64" t="s">
        <v>215</v>
      </c>
      <c r="AB113" s="53">
        <f>L60</f>
        <v>168586.11000000004</v>
      </c>
      <c r="AC113" s="157">
        <v>0</v>
      </c>
      <c r="AD113" s="57">
        <f>N60*1.5</f>
        <v>0</v>
      </c>
      <c r="AE113" s="83">
        <f t="shared" si="70"/>
        <v>0</v>
      </c>
      <c r="AF113" s="60">
        <v>1.7500000000000002E-2</v>
      </c>
      <c r="AG113" s="258">
        <f t="shared" si="71"/>
        <v>0</v>
      </c>
      <c r="AH113"/>
      <c r="AI113"/>
      <c r="AJ113"/>
      <c r="AK113"/>
    </row>
    <row r="114" spans="1:37" s="173" customFormat="1" ht="15" thickBot="1" x14ac:dyDescent="0.4">
      <c r="A114" s="35"/>
      <c r="B114" s="36"/>
      <c r="C114"/>
      <c r="D114"/>
      <c r="E114"/>
      <c r="F114" s="191"/>
      <c r="G114"/>
      <c r="H114"/>
      <c r="I114"/>
      <c r="J114"/>
      <c r="K114"/>
      <c r="L114"/>
      <c r="M114"/>
      <c r="N114" s="191"/>
      <c r="O114"/>
      <c r="P114"/>
      <c r="Q114" s="298"/>
      <c r="R114"/>
      <c r="S114" s="65" t="s">
        <v>116</v>
      </c>
      <c r="T114" s="66"/>
      <c r="U114" s="88"/>
      <c r="V114" s="67"/>
      <c r="W114" s="90"/>
      <c r="X114" s="28"/>
      <c r="Y114" s="259">
        <f>SUM(Y106:Y112)</f>
        <v>14702.187500000002</v>
      </c>
      <c r="Z114" s="36"/>
      <c r="AA114" s="65" t="s">
        <v>116</v>
      </c>
      <c r="AB114" s="66"/>
      <c r="AC114" s="88"/>
      <c r="AD114" s="67"/>
      <c r="AE114" s="90"/>
      <c r="AF114" s="28"/>
      <c r="AG114" s="259">
        <f>SUM(AG106:AG113)</f>
        <v>8684820.5587499999</v>
      </c>
      <c r="AH114"/>
      <c r="AI114"/>
      <c r="AJ114"/>
      <c r="AK114"/>
    </row>
    <row r="115" spans="1:37" s="173" customFormat="1" ht="15" thickBot="1" x14ac:dyDescent="0.4">
      <c r="A115" s="35"/>
      <c r="B115" s="268"/>
      <c r="C115"/>
      <c r="D115"/>
      <c r="E115"/>
      <c r="F115" s="191"/>
      <c r="G115"/>
      <c r="H115"/>
      <c r="I115"/>
      <c r="J115"/>
      <c r="K115"/>
      <c r="L115"/>
      <c r="M115"/>
      <c r="N115" s="191"/>
      <c r="O115"/>
      <c r="P115"/>
      <c r="Q115" s="298"/>
      <c r="R115"/>
      <c r="S115" s="29"/>
      <c r="T115" s="38"/>
      <c r="U115" s="30"/>
      <c r="V115" s="50"/>
      <c r="W115" s="82"/>
      <c r="X115" s="37"/>
      <c r="Y115" s="252"/>
      <c r="Z115" s="36"/>
      <c r="AA115" s="29"/>
      <c r="AB115" s="11"/>
      <c r="AC115" s="30"/>
      <c r="AD115" s="37"/>
      <c r="AE115" s="82"/>
      <c r="AF115" s="38"/>
      <c r="AG115" s="252"/>
      <c r="AH115"/>
      <c r="AI115"/>
      <c r="AJ115"/>
      <c r="AK115"/>
    </row>
    <row r="116" spans="1:37" s="173" customFormat="1" x14ac:dyDescent="0.35">
      <c r="A116" s="35"/>
      <c r="B116"/>
      <c r="C116"/>
      <c r="D116"/>
      <c r="E116"/>
      <c r="F116" s="191"/>
      <c r="G116"/>
      <c r="H116"/>
      <c r="I116"/>
      <c r="J116"/>
      <c r="K116"/>
      <c r="L116"/>
      <c r="M116"/>
      <c r="N116" s="191"/>
      <c r="O116"/>
      <c r="P116"/>
      <c r="Q116" s="298"/>
      <c r="R116"/>
      <c r="S116" s="376" t="s">
        <v>81</v>
      </c>
      <c r="T116" s="377"/>
      <c r="U116" s="377"/>
      <c r="V116" s="377"/>
      <c r="W116" s="377"/>
      <c r="X116" s="377"/>
      <c r="Y116" s="378"/>
      <c r="Z116" s="36"/>
      <c r="AA116" s="376" t="s">
        <v>84</v>
      </c>
      <c r="AB116" s="377"/>
      <c r="AC116" s="377"/>
      <c r="AD116" s="377"/>
      <c r="AE116" s="377"/>
      <c r="AF116" s="377"/>
      <c r="AG116" s="378"/>
      <c r="AH116"/>
      <c r="AI116"/>
      <c r="AJ116"/>
      <c r="AK116"/>
    </row>
    <row r="117" spans="1:37" s="173" customFormat="1" x14ac:dyDescent="0.35">
      <c r="A117" s="35"/>
      <c r="B117"/>
      <c r="C117"/>
      <c r="D117"/>
      <c r="E117"/>
      <c r="F117" s="191"/>
      <c r="G117"/>
      <c r="H117"/>
      <c r="I117"/>
      <c r="J117"/>
      <c r="K117"/>
      <c r="L117"/>
      <c r="M117"/>
      <c r="N117" s="191"/>
      <c r="O117"/>
      <c r="P117"/>
      <c r="Q117" s="298"/>
      <c r="R117"/>
      <c r="S117" s="62"/>
      <c r="T117" s="45" t="s">
        <v>82</v>
      </c>
      <c r="U117" s="32" t="s">
        <v>226</v>
      </c>
      <c r="V117" s="49" t="s">
        <v>145</v>
      </c>
      <c r="W117" s="159" t="s">
        <v>83</v>
      </c>
      <c r="X117" s="32" t="s">
        <v>144</v>
      </c>
      <c r="Y117" s="257" t="s">
        <v>110</v>
      </c>
      <c r="Z117"/>
      <c r="AA117" s="62"/>
      <c r="AB117" s="45" t="s">
        <v>82</v>
      </c>
      <c r="AC117" s="32" t="s">
        <v>226</v>
      </c>
      <c r="AD117" s="49" t="s">
        <v>145</v>
      </c>
      <c r="AE117" s="159" t="s">
        <v>83</v>
      </c>
      <c r="AF117" s="32" t="s">
        <v>143</v>
      </c>
      <c r="AG117" s="257" t="s">
        <v>110</v>
      </c>
      <c r="AH117"/>
      <c r="AI117"/>
      <c r="AJ117"/>
      <c r="AK117"/>
    </row>
    <row r="118" spans="1:37" s="173" customFormat="1" x14ac:dyDescent="0.35">
      <c r="A118" s="35"/>
      <c r="B118" s="42"/>
      <c r="C118"/>
      <c r="D118"/>
      <c r="E118"/>
      <c r="F118" s="191"/>
      <c r="G118"/>
      <c r="H118"/>
      <c r="I118"/>
      <c r="J118"/>
      <c r="K118"/>
      <c r="L118"/>
      <c r="M118"/>
      <c r="N118" s="191"/>
      <c r="O118"/>
      <c r="P118"/>
      <c r="Q118" s="298"/>
      <c r="R118"/>
      <c r="S118" s="63" t="s">
        <v>273</v>
      </c>
      <c r="T118" s="53">
        <f>D66</f>
        <v>8132.4100000000008</v>
      </c>
      <c r="U118" s="157">
        <f>(W118-AE106)/AE106</f>
        <v>0.30625000000000002</v>
      </c>
      <c r="V118" s="57">
        <f>F66*1.5</f>
        <v>5.1210937499999991E-2</v>
      </c>
      <c r="W118" s="83">
        <f>V118*T118</f>
        <v>416.46834023437498</v>
      </c>
      <c r="X118" s="58">
        <v>1.7500000000000002E-2</v>
      </c>
      <c r="Y118" s="258">
        <f>X118*W118*1000000</f>
        <v>7288195.9541015634</v>
      </c>
      <c r="Z118" s="42"/>
      <c r="AA118" s="63" t="s">
        <v>273</v>
      </c>
      <c r="AB118" s="53">
        <f>L66</f>
        <v>8945.6510000000017</v>
      </c>
      <c r="AC118" s="157">
        <f>(AE118-W118)/W118</f>
        <v>0.3578125000000002</v>
      </c>
      <c r="AD118" s="57">
        <f>N66*1.5</f>
        <v>6.3213500976562489E-2</v>
      </c>
      <c r="AE118" s="83">
        <f>AD118*AB118</f>
        <v>565.48591822448736</v>
      </c>
      <c r="AF118" s="58">
        <v>1.7500000000000002E-2</v>
      </c>
      <c r="AG118" s="258">
        <f>AF118*AE118*1000000</f>
        <v>9896003.5689285286</v>
      </c>
      <c r="AH118"/>
      <c r="AI118"/>
      <c r="AJ118"/>
      <c r="AK118"/>
    </row>
    <row r="119" spans="1:37" s="173" customFormat="1" ht="15.75" customHeight="1" x14ac:dyDescent="0.35">
      <c r="A119" s="35"/>
      <c r="B119" s="268"/>
      <c r="C119"/>
      <c r="D119"/>
      <c r="E119"/>
      <c r="F119" s="191"/>
      <c r="G119"/>
      <c r="H119"/>
      <c r="I119"/>
      <c r="J119"/>
      <c r="K119"/>
      <c r="L119"/>
      <c r="M119"/>
      <c r="N119" s="191"/>
      <c r="O119"/>
      <c r="P119"/>
      <c r="Q119" s="298"/>
      <c r="R119"/>
      <c r="S119" s="63" t="s">
        <v>274</v>
      </c>
      <c r="T119" s="53">
        <f>D68</f>
        <v>41810.501250000001</v>
      </c>
      <c r="U119" s="157" t="e">
        <f t="shared" ref="U119:U125" si="72">(W119-AE107)/AE107</f>
        <v>#DIV/0!</v>
      </c>
      <c r="V119" s="57">
        <f>F68*1.5</f>
        <v>7.5000000000000002E-4</v>
      </c>
      <c r="W119" s="83">
        <f t="shared" ref="W119:W126" si="73">V119*T119</f>
        <v>31.357875937500001</v>
      </c>
      <c r="X119" s="60">
        <v>1.7500000000000002E-2</v>
      </c>
      <c r="Y119" s="258">
        <f t="shared" ref="Y119:Y125" si="74">X119*W119*1000000</f>
        <v>548762.82890625007</v>
      </c>
      <c r="Z119" s="35"/>
      <c r="AA119" s="63" t="s">
        <v>274</v>
      </c>
      <c r="AB119" s="53">
        <f>L68</f>
        <v>43901.026312500006</v>
      </c>
      <c r="AC119" s="157">
        <f t="shared" ref="AC119:AC125" si="75">(AE119-W119)/W119</f>
        <v>0.5750000000000004</v>
      </c>
      <c r="AD119" s="57">
        <f t="shared" ref="AD119:AD126" si="76">V119*1.5</f>
        <v>1.1250000000000001E-3</v>
      </c>
      <c r="AE119" s="83">
        <f t="shared" ref="AE119:AE125" si="77">AD119*AB119</f>
        <v>49.388654601562514</v>
      </c>
      <c r="AF119" s="60">
        <v>1.7500000000000002E-2</v>
      </c>
      <c r="AG119" s="258">
        <f t="shared" ref="AG119:AG125" si="78">AF119*AE119*1000000</f>
        <v>864301.45552734402</v>
      </c>
      <c r="AH119"/>
      <c r="AI119"/>
      <c r="AJ119"/>
      <c r="AK119"/>
    </row>
    <row r="120" spans="1:37" s="173" customFormat="1" x14ac:dyDescent="0.35">
      <c r="A120" s="35"/>
      <c r="B120" s="268"/>
      <c r="C120"/>
      <c r="D120"/>
      <c r="E120"/>
      <c r="F120" s="191"/>
      <c r="G120"/>
      <c r="H120"/>
      <c r="I120"/>
      <c r="J120"/>
      <c r="K120"/>
      <c r="L120"/>
      <c r="M120"/>
      <c r="N120" s="191"/>
      <c r="O120"/>
      <c r="P120"/>
      <c r="Q120" s="298"/>
      <c r="R120"/>
      <c r="S120" s="64" t="s">
        <v>35</v>
      </c>
      <c r="T120" s="53">
        <f>D67</f>
        <v>253211.79312000002</v>
      </c>
      <c r="U120" s="157">
        <f t="shared" si="72"/>
        <v>0.20960000000000023</v>
      </c>
      <c r="V120" s="57">
        <f>F67*1.5</f>
        <v>8.4000000000000003E-4</v>
      </c>
      <c r="W120" s="83">
        <f t="shared" si="73"/>
        <v>212.69790622080004</v>
      </c>
      <c r="X120" s="60">
        <v>1.7500000000000002E-2</v>
      </c>
      <c r="Y120" s="258">
        <f t="shared" si="74"/>
        <v>3722213.358864001</v>
      </c>
      <c r="Z120" s="36"/>
      <c r="AA120" s="64" t="s">
        <v>35</v>
      </c>
      <c r="AB120" s="53">
        <f>L67</f>
        <v>273468.73656960006</v>
      </c>
      <c r="AC120" s="157">
        <f t="shared" si="75"/>
        <v>0.62000000000000011</v>
      </c>
      <c r="AD120" s="57">
        <f t="shared" si="76"/>
        <v>1.2600000000000001E-3</v>
      </c>
      <c r="AE120" s="83">
        <f t="shared" si="77"/>
        <v>344.57060807769608</v>
      </c>
      <c r="AF120" s="60">
        <v>1.7500000000000002E-2</v>
      </c>
      <c r="AG120" s="258">
        <f t="shared" si="78"/>
        <v>6029985.6413596822</v>
      </c>
      <c r="AH120"/>
      <c r="AI120"/>
      <c r="AJ120"/>
      <c r="AK120"/>
    </row>
    <row r="121" spans="1:37" s="173" customFormat="1" x14ac:dyDescent="0.35">
      <c r="A121" s="35"/>
      <c r="B121" s="268"/>
      <c r="C121"/>
      <c r="D121"/>
      <c r="E121"/>
      <c r="F121" s="191"/>
      <c r="G121"/>
      <c r="H121"/>
      <c r="I121"/>
      <c r="J121"/>
      <c r="K121"/>
      <c r="L121"/>
      <c r="M121"/>
      <c r="N121" s="191"/>
      <c r="O121"/>
      <c r="P121"/>
      <c r="Q121" s="298"/>
      <c r="R121"/>
      <c r="S121" s="64" t="s">
        <v>58</v>
      </c>
      <c r="T121" s="53">
        <f>D69</f>
        <v>180268.77272727276</v>
      </c>
      <c r="U121" s="157" t="e">
        <f t="shared" si="72"/>
        <v>#DIV/0!</v>
      </c>
      <c r="V121" s="57">
        <f>F69*1.5</f>
        <v>7.5000000000000002E-4</v>
      </c>
      <c r="W121" s="83">
        <f t="shared" si="73"/>
        <v>135.20157954545456</v>
      </c>
      <c r="X121" s="60">
        <v>1.7500000000000002E-2</v>
      </c>
      <c r="Y121" s="258">
        <f t="shared" si="74"/>
        <v>2366027.6420454551</v>
      </c>
      <c r="Z121" s="36"/>
      <c r="AA121" s="64" t="s">
        <v>58</v>
      </c>
      <c r="AB121" s="53">
        <f>L69</f>
        <v>189282.21136363642</v>
      </c>
      <c r="AC121" s="157">
        <f t="shared" si="75"/>
        <v>0.57500000000000051</v>
      </c>
      <c r="AD121" s="57">
        <f t="shared" si="76"/>
        <v>1.1250000000000001E-3</v>
      </c>
      <c r="AE121" s="83">
        <f t="shared" si="77"/>
        <v>212.94248778409101</v>
      </c>
      <c r="AF121" s="60">
        <v>1.7500000000000002E-2</v>
      </c>
      <c r="AG121" s="258">
        <f t="shared" si="78"/>
        <v>3726493.5362215932</v>
      </c>
      <c r="AH121"/>
      <c r="AI121"/>
      <c r="AJ121"/>
      <c r="AK121"/>
    </row>
    <row r="122" spans="1:37" s="173" customFormat="1" x14ac:dyDescent="0.35">
      <c r="A122" s="35"/>
      <c r="B122" s="268"/>
      <c r="C122"/>
      <c r="D122"/>
      <c r="E122"/>
      <c r="F122" s="191"/>
      <c r="G122"/>
      <c r="H122"/>
      <c r="I122"/>
      <c r="J122"/>
      <c r="K122"/>
      <c r="L122"/>
      <c r="M122"/>
      <c r="N122" s="191"/>
      <c r="O122"/>
      <c r="P122"/>
      <c r="Q122" s="298"/>
      <c r="R122"/>
      <c r="S122" s="64" t="s">
        <v>62</v>
      </c>
      <c r="T122" s="53">
        <f>D70</f>
        <v>5689.6875</v>
      </c>
      <c r="U122" s="157" t="e">
        <f t="shared" si="72"/>
        <v>#DIV/0!</v>
      </c>
      <c r="V122" s="57">
        <f>F70*1.5</f>
        <v>7.5000000000000002E-4</v>
      </c>
      <c r="W122" s="83">
        <f t="shared" si="73"/>
        <v>4.2672656250000003</v>
      </c>
      <c r="X122" s="60">
        <v>1.7500000000000002E-2</v>
      </c>
      <c r="Y122" s="258">
        <f t="shared" si="74"/>
        <v>74677.1484375</v>
      </c>
      <c r="Z122" s="36"/>
      <c r="AA122" s="64" t="s">
        <v>62</v>
      </c>
      <c r="AB122" s="53">
        <f>L70</f>
        <v>5974.171875</v>
      </c>
      <c r="AC122" s="157">
        <f t="shared" si="75"/>
        <v>0.57500000000000018</v>
      </c>
      <c r="AD122" s="57">
        <f t="shared" si="76"/>
        <v>1.1250000000000001E-3</v>
      </c>
      <c r="AE122" s="83">
        <f t="shared" si="77"/>
        <v>6.720943359375001</v>
      </c>
      <c r="AF122" s="60">
        <v>1.7500000000000002E-2</v>
      </c>
      <c r="AG122" s="258">
        <f t="shared" si="78"/>
        <v>117616.50878906253</v>
      </c>
      <c r="AH122"/>
      <c r="AI122"/>
      <c r="AJ122"/>
      <c r="AK122"/>
    </row>
    <row r="123" spans="1:37" s="173" customFormat="1" x14ac:dyDescent="0.35">
      <c r="A123" s="35"/>
      <c r="B123" s="268"/>
      <c r="C123"/>
      <c r="D123"/>
      <c r="E123"/>
      <c r="F123" s="191"/>
      <c r="G123"/>
      <c r="H123"/>
      <c r="I123"/>
      <c r="J123"/>
      <c r="K123"/>
      <c r="L123"/>
      <c r="M123"/>
      <c r="N123" s="191"/>
      <c r="O123"/>
      <c r="P123"/>
      <c r="Q123" s="298"/>
      <c r="R123"/>
      <c r="S123" s="64" t="s">
        <v>204</v>
      </c>
      <c r="T123" s="53">
        <f>D71</f>
        <v>49011.637500000004</v>
      </c>
      <c r="U123" s="157" t="e">
        <f t="shared" si="72"/>
        <v>#DIV/0!</v>
      </c>
      <c r="V123" s="57">
        <f>F71*1.5</f>
        <v>7.5000000000000002E-4</v>
      </c>
      <c r="W123" s="83">
        <f t="shared" si="73"/>
        <v>36.758728125000005</v>
      </c>
      <c r="X123" s="60">
        <v>1.7500000000000002E-2</v>
      </c>
      <c r="Y123" s="258">
        <f t="shared" si="74"/>
        <v>643277.74218750012</v>
      </c>
      <c r="Z123" s="36"/>
      <c r="AA123" s="64" t="s">
        <v>204</v>
      </c>
      <c r="AB123" s="53">
        <f>L71</f>
        <v>51462.219375000008</v>
      </c>
      <c r="AC123" s="157">
        <f t="shared" si="75"/>
        <v>0.57500000000000018</v>
      </c>
      <c r="AD123" s="57">
        <f t="shared" si="76"/>
        <v>1.1250000000000001E-3</v>
      </c>
      <c r="AE123" s="83">
        <f t="shared" si="77"/>
        <v>57.894996796875013</v>
      </c>
      <c r="AF123" s="60">
        <v>1.7500000000000002E-2</v>
      </c>
      <c r="AG123" s="258">
        <f t="shared" si="78"/>
        <v>1013162.4439453129</v>
      </c>
      <c r="AH123"/>
      <c r="AI123"/>
      <c r="AJ123"/>
      <c r="AK123"/>
    </row>
    <row r="124" spans="1:37" s="173" customFormat="1" x14ac:dyDescent="0.35">
      <c r="A124" s="35"/>
      <c r="B124"/>
      <c r="C124"/>
      <c r="D124"/>
      <c r="E124"/>
      <c r="F124" s="191"/>
      <c r="G124"/>
      <c r="H124"/>
      <c r="I124"/>
      <c r="J124"/>
      <c r="K124"/>
      <c r="L124"/>
      <c r="M124"/>
      <c r="N124" s="191"/>
      <c r="O124"/>
      <c r="P124"/>
      <c r="Q124" s="298"/>
      <c r="R124"/>
      <c r="S124" s="64" t="s">
        <v>207</v>
      </c>
      <c r="T124" s="53">
        <f>D72</f>
        <v>2249.1</v>
      </c>
      <c r="U124" s="157">
        <f t="shared" si="72"/>
        <v>0.17599999999999993</v>
      </c>
      <c r="V124" s="57">
        <f>F72*1.5</f>
        <v>8.4000000000000003E-4</v>
      </c>
      <c r="W124" s="83">
        <f t="shared" si="73"/>
        <v>1.8892439999999999</v>
      </c>
      <c r="X124" s="60">
        <v>1.7500000000000002E-2</v>
      </c>
      <c r="Y124" s="258">
        <f t="shared" si="74"/>
        <v>33061.770000000004</v>
      </c>
      <c r="Z124" s="36"/>
      <c r="AA124" s="64" t="s">
        <v>207</v>
      </c>
      <c r="AB124" s="53">
        <f>L72</f>
        <v>2361.5549999999998</v>
      </c>
      <c r="AC124" s="157">
        <f t="shared" si="75"/>
        <v>0.57500000000000007</v>
      </c>
      <c r="AD124" s="57">
        <f t="shared" si="76"/>
        <v>1.2600000000000001E-3</v>
      </c>
      <c r="AE124" s="83">
        <f t="shared" si="77"/>
        <v>2.9755593</v>
      </c>
      <c r="AF124" s="60">
        <v>1.7500000000000002E-2</v>
      </c>
      <c r="AG124" s="258">
        <f t="shared" si="78"/>
        <v>52072.28775000001</v>
      </c>
      <c r="AH124"/>
      <c r="AI124"/>
      <c r="AJ124"/>
      <c r="AK124"/>
    </row>
    <row r="125" spans="1:37" s="173" customFormat="1" x14ac:dyDescent="0.35">
      <c r="A125" s="35"/>
      <c r="B125"/>
      <c r="C125"/>
      <c r="D125"/>
      <c r="E125"/>
      <c r="F125" s="191"/>
      <c r="G125"/>
      <c r="H125"/>
      <c r="I125"/>
      <c r="J125"/>
      <c r="K125"/>
      <c r="L125"/>
      <c r="M125"/>
      <c r="N125" s="191"/>
      <c r="O125"/>
      <c r="P125"/>
      <c r="Q125" s="298"/>
      <c r="R125"/>
      <c r="S125" s="64" t="s">
        <v>215</v>
      </c>
      <c r="T125" s="53">
        <f>D73</f>
        <v>177015.41550000006</v>
      </c>
      <c r="U125" s="157" t="e">
        <f t="shared" si="72"/>
        <v>#DIV/0!</v>
      </c>
      <c r="V125" s="57">
        <f>F73*1.5</f>
        <v>7.5000000000000002E-4</v>
      </c>
      <c r="W125" s="83">
        <f t="shared" si="73"/>
        <v>132.76156162500004</v>
      </c>
      <c r="X125" s="60">
        <v>1.7500000000000002E-2</v>
      </c>
      <c r="Y125" s="258">
        <f t="shared" si="74"/>
        <v>2323327.3284375011</v>
      </c>
      <c r="Z125"/>
      <c r="AA125" s="64" t="s">
        <v>215</v>
      </c>
      <c r="AB125" s="53">
        <f>L73</f>
        <v>185866.18627500007</v>
      </c>
      <c r="AC125" s="157">
        <f t="shared" si="75"/>
        <v>0.57500000000000029</v>
      </c>
      <c r="AD125" s="57">
        <f t="shared" si="76"/>
        <v>1.1250000000000001E-3</v>
      </c>
      <c r="AE125" s="83">
        <f t="shared" si="77"/>
        <v>209.09945955937511</v>
      </c>
      <c r="AF125" s="60">
        <v>1.7500000000000002E-2</v>
      </c>
      <c r="AG125" s="258">
        <f t="shared" si="78"/>
        <v>3659240.5422890647</v>
      </c>
      <c r="AH125"/>
      <c r="AI125"/>
      <c r="AJ125"/>
      <c r="AK125"/>
    </row>
    <row r="126" spans="1:37" s="173" customFormat="1" ht="15" thickBot="1" x14ac:dyDescent="0.4">
      <c r="A126" s="35"/>
      <c r="B126"/>
      <c r="C126"/>
      <c r="D126"/>
      <c r="E126"/>
      <c r="F126" s="191"/>
      <c r="G126"/>
      <c r="H126"/>
      <c r="I126"/>
      <c r="J126"/>
      <c r="K126"/>
      <c r="L126"/>
      <c r="M126"/>
      <c r="N126" s="191"/>
      <c r="O126"/>
      <c r="P126"/>
      <c r="Q126" s="298"/>
      <c r="R126"/>
      <c r="S126" s="65" t="s">
        <v>116</v>
      </c>
      <c r="T126" s="66">
        <f>SUM(T118:T125)</f>
        <v>717389.31759727281</v>
      </c>
      <c r="U126" s="88" t="e">
        <f>SUM(U118:U125)/8</f>
        <v>#DIV/0!</v>
      </c>
      <c r="V126" s="67">
        <f>SUM(V118:V125)</f>
        <v>5.6640937499999995E-2</v>
      </c>
      <c r="W126" s="90">
        <f t="shared" si="73"/>
        <v>40633.603501194775</v>
      </c>
      <c r="X126" s="28"/>
      <c r="Y126" s="259">
        <f>SUM(Y118:Y124)</f>
        <v>14676216.444542268</v>
      </c>
      <c r="Z126"/>
      <c r="AA126" s="65" t="s">
        <v>116</v>
      </c>
      <c r="AB126" s="66"/>
      <c r="AC126" s="88"/>
      <c r="AD126" s="67">
        <f t="shared" si="76"/>
        <v>8.4961406249999996E-2</v>
      </c>
      <c r="AE126" s="90"/>
      <c r="AF126" s="28"/>
      <c r="AG126" s="259">
        <f>SUM(AG118:AG124)</f>
        <v>21699635.44252152</v>
      </c>
      <c r="AH126"/>
      <c r="AI126"/>
      <c r="AJ126"/>
      <c r="AK126"/>
    </row>
    <row r="127" spans="1:37" s="173" customFormat="1" ht="15" thickBot="1" x14ac:dyDescent="0.4">
      <c r="A127" s="35"/>
      <c r="B127"/>
      <c r="C127"/>
      <c r="D127"/>
      <c r="E127"/>
      <c r="F127" s="191"/>
      <c r="G127"/>
      <c r="H127"/>
      <c r="I127"/>
      <c r="J127"/>
      <c r="K127"/>
      <c r="L127"/>
      <c r="M127"/>
      <c r="N127" s="191"/>
      <c r="O127"/>
      <c r="P127"/>
      <c r="Q127" s="298"/>
      <c r="R127"/>
      <c r="S127" s="29"/>
      <c r="T127" s="38"/>
      <c r="U127" s="30"/>
      <c r="V127" s="50"/>
      <c r="W127" s="82"/>
      <c r="X127" s="37"/>
      <c r="Y127" s="252"/>
      <c r="Z127"/>
      <c r="AA127"/>
      <c r="AB127"/>
      <c r="AC127" s="30"/>
      <c r="AD127"/>
      <c r="AE127" s="82"/>
      <c r="AF127"/>
      <c r="AG127" s="252"/>
      <c r="AH127"/>
      <c r="AI127"/>
      <c r="AJ127"/>
      <c r="AK127"/>
    </row>
    <row r="128" spans="1:37" s="173" customFormat="1" x14ac:dyDescent="0.35">
      <c r="A128" s="35"/>
      <c r="B128"/>
      <c r="C128"/>
      <c r="D128"/>
      <c r="E128"/>
      <c r="F128" s="191"/>
      <c r="G128"/>
      <c r="H128"/>
      <c r="I128"/>
      <c r="J128"/>
      <c r="K128"/>
      <c r="L128"/>
      <c r="M128"/>
      <c r="N128" s="191"/>
      <c r="O128"/>
      <c r="P128"/>
      <c r="Q128" s="298"/>
      <c r="R128"/>
      <c r="S128" s="376" t="s">
        <v>85</v>
      </c>
      <c r="T128" s="377"/>
      <c r="U128" s="377"/>
      <c r="V128" s="377"/>
      <c r="W128" s="377"/>
      <c r="X128" s="377"/>
      <c r="Y128" s="378"/>
      <c r="Z128"/>
      <c r="AA128" s="376" t="s">
        <v>86</v>
      </c>
      <c r="AB128" s="377"/>
      <c r="AC128" s="377"/>
      <c r="AD128" s="377"/>
      <c r="AE128" s="377"/>
      <c r="AF128" s="377"/>
      <c r="AG128" s="378"/>
      <c r="AH128"/>
      <c r="AI128"/>
      <c r="AJ128"/>
      <c r="AK128"/>
    </row>
    <row r="129" spans="1:37" s="173" customFormat="1" x14ac:dyDescent="0.35">
      <c r="A129" s="35"/>
      <c r="B129"/>
      <c r="C129"/>
      <c r="D129"/>
      <c r="E129"/>
      <c r="F129" s="191"/>
      <c r="G129"/>
      <c r="H129"/>
      <c r="I129"/>
      <c r="J129"/>
      <c r="K129"/>
      <c r="L129"/>
      <c r="M129"/>
      <c r="N129" s="191"/>
      <c r="O129"/>
      <c r="P129"/>
      <c r="Q129" s="298"/>
      <c r="R129"/>
      <c r="S129" s="62"/>
      <c r="T129" s="45" t="s">
        <v>82</v>
      </c>
      <c r="U129" s="32" t="s">
        <v>226</v>
      </c>
      <c r="V129" s="49" t="s">
        <v>145</v>
      </c>
      <c r="W129" s="159" t="s">
        <v>83</v>
      </c>
      <c r="X129" s="32" t="s">
        <v>143</v>
      </c>
      <c r="Y129" s="257" t="s">
        <v>110</v>
      </c>
      <c r="Z129"/>
      <c r="AA129" s="62"/>
      <c r="AB129" s="45" t="s">
        <v>82</v>
      </c>
      <c r="AC129" s="32" t="s">
        <v>226</v>
      </c>
      <c r="AD129" s="49" t="s">
        <v>145</v>
      </c>
      <c r="AE129" s="159" t="s">
        <v>83</v>
      </c>
      <c r="AF129" s="32" t="s">
        <v>143</v>
      </c>
      <c r="AG129" s="257" t="s">
        <v>110</v>
      </c>
      <c r="AH129"/>
      <c r="AI129"/>
      <c r="AJ129"/>
      <c r="AK129"/>
    </row>
    <row r="130" spans="1:37" s="173" customFormat="1" x14ac:dyDescent="0.35">
      <c r="A130" s="35"/>
      <c r="B130"/>
      <c r="C130"/>
      <c r="D130"/>
      <c r="E130"/>
      <c r="F130" s="191"/>
      <c r="G130"/>
      <c r="H130"/>
      <c r="I130"/>
      <c r="J130"/>
      <c r="K130"/>
      <c r="L130"/>
      <c r="M130"/>
      <c r="N130" s="191"/>
      <c r="O130"/>
      <c r="P130"/>
      <c r="Q130" s="298"/>
      <c r="R130"/>
      <c r="S130" s="63" t="s">
        <v>273</v>
      </c>
      <c r="T130" s="53">
        <f>D79</f>
        <v>9840.2161000000033</v>
      </c>
      <c r="U130" s="157">
        <f t="shared" ref="U130:U137" si="79">(W130-AE118)/AE118</f>
        <v>0.4222656250000002</v>
      </c>
      <c r="V130" s="57">
        <f>F79*1.5</f>
        <v>8.1733081340789784E-2</v>
      </c>
      <c r="W130" s="83">
        <f>V130*T130</f>
        <v>804.27118291224951</v>
      </c>
      <c r="X130" s="58">
        <v>0.02</v>
      </c>
      <c r="Y130" s="258">
        <f>X130*W130*1000000</f>
        <v>16085423.658244992</v>
      </c>
      <c r="Z130"/>
      <c r="AA130" s="63" t="s">
        <v>273</v>
      </c>
      <c r="AB130" s="53">
        <f>L79</f>
        <v>10824.237710000005</v>
      </c>
      <c r="AC130" s="157">
        <f>(AE130-W130)/W130</f>
        <v>0.50283203125000009</v>
      </c>
      <c r="AD130" s="57">
        <f>N79*1.5</f>
        <v>0.11166462968336416</v>
      </c>
      <c r="AE130" s="83">
        <f>AD130*AB130</f>
        <v>1208.6844954918563</v>
      </c>
      <c r="AF130" s="58">
        <v>0.02</v>
      </c>
      <c r="AG130" s="258">
        <f>AF130*AE130*1000000</f>
        <v>24173689.909837127</v>
      </c>
      <c r="AH130"/>
      <c r="AI130"/>
      <c r="AJ130"/>
      <c r="AK130"/>
    </row>
    <row r="131" spans="1:37" s="173" customFormat="1" ht="15" customHeight="1" x14ac:dyDescent="0.35">
      <c r="A131" s="35"/>
      <c r="B131"/>
      <c r="C131"/>
      <c r="D131"/>
      <c r="E131"/>
      <c r="F131" s="191"/>
      <c r="G131"/>
      <c r="H131"/>
      <c r="I131"/>
      <c r="J131"/>
      <c r="K131"/>
      <c r="L131"/>
      <c r="M131"/>
      <c r="N131" s="191"/>
      <c r="O131"/>
      <c r="P131"/>
      <c r="Q131" s="298"/>
      <c r="R131"/>
      <c r="S131" s="63" t="s">
        <v>274</v>
      </c>
      <c r="T131" s="53">
        <f>D81</f>
        <v>46096.077628125007</v>
      </c>
      <c r="U131" s="157">
        <f t="shared" si="79"/>
        <v>8.1023999999999943E-2</v>
      </c>
      <c r="V131" s="57">
        <f>F81*1.5</f>
        <v>1.1582400000000001E-3</v>
      </c>
      <c r="W131" s="83">
        <f t="shared" ref="W131:W137" si="80">V131*T131</f>
        <v>53.390320951999513</v>
      </c>
      <c r="X131" s="58">
        <v>0.02</v>
      </c>
      <c r="Y131" s="258">
        <f t="shared" ref="Y131:Y137" si="81">X131*W131*1000000</f>
        <v>1067806.4190399903</v>
      </c>
      <c r="Z131"/>
      <c r="AA131" s="63" t="s">
        <v>274</v>
      </c>
      <c r="AB131" s="53">
        <f>L81</f>
        <v>48400.88150953126</v>
      </c>
      <c r="AC131" s="157">
        <f t="shared" ref="AC131:AC137" si="82">(AE131-W131)/W131</f>
        <v>0.40437499999999982</v>
      </c>
      <c r="AD131" s="57">
        <f>N81*1.5</f>
        <v>1.5491459999999999E-3</v>
      </c>
      <c r="AE131" s="83">
        <f t="shared" ref="AE131:AE137" si="83">AD131*AB131</f>
        <v>74.980031986964306</v>
      </c>
      <c r="AF131" s="60">
        <f>AF130</f>
        <v>0.02</v>
      </c>
      <c r="AG131" s="258">
        <f t="shared" ref="AG131:AG137" si="84">AF131*AE131*1000000</f>
        <v>1499600.6397392862</v>
      </c>
      <c r="AH131"/>
      <c r="AI131"/>
      <c r="AJ131"/>
      <c r="AK131"/>
    </row>
    <row r="132" spans="1:37" s="173" customFormat="1" x14ac:dyDescent="0.35">
      <c r="A132" s="35"/>
      <c r="B132"/>
      <c r="C132"/>
      <c r="D132"/>
      <c r="E132"/>
      <c r="F132" s="191"/>
      <c r="G132"/>
      <c r="H132"/>
      <c r="I132"/>
      <c r="J132"/>
      <c r="K132"/>
      <c r="L132"/>
      <c r="M132"/>
      <c r="N132" s="191"/>
      <c r="O132"/>
      <c r="P132"/>
      <c r="Q132" s="298"/>
      <c r="R132"/>
      <c r="S132" s="64" t="s">
        <v>35</v>
      </c>
      <c r="T132" s="53">
        <f>D80</f>
        <v>295346.23549516808</v>
      </c>
      <c r="U132" s="157">
        <f t="shared" si="79"/>
        <v>-3.398809599999978E-2</v>
      </c>
      <c r="V132" s="57">
        <f>F80*1.5</f>
        <v>1.1270138880000002E-3</v>
      </c>
      <c r="W132" s="83">
        <f t="shared" si="80"/>
        <v>332.85930917157305</v>
      </c>
      <c r="X132" s="58">
        <v>0.02</v>
      </c>
      <c r="Y132" s="258">
        <f t="shared" si="81"/>
        <v>6657186.1834314615</v>
      </c>
      <c r="Z132"/>
      <c r="AA132" s="64" t="s">
        <v>35</v>
      </c>
      <c r="AB132" s="53">
        <f>L80</f>
        <v>318973.93433478154</v>
      </c>
      <c r="AC132" s="157">
        <f t="shared" si="82"/>
        <v>0.30394879999999991</v>
      </c>
      <c r="AD132" s="57">
        <f>N80*1.5</f>
        <v>1.3607114878156801E-3</v>
      </c>
      <c r="AE132" s="83">
        <f t="shared" si="83"/>
        <v>434.03149676310164</v>
      </c>
      <c r="AF132" s="60">
        <f t="shared" ref="AF132:AF137" si="85">AF131</f>
        <v>0.02</v>
      </c>
      <c r="AG132" s="258">
        <f t="shared" si="84"/>
        <v>8680629.9352620337</v>
      </c>
      <c r="AH132"/>
      <c r="AI132"/>
      <c r="AJ132"/>
      <c r="AK132"/>
    </row>
    <row r="133" spans="1:37" s="173" customFormat="1" x14ac:dyDescent="0.35">
      <c r="A133" s="35"/>
      <c r="B133"/>
      <c r="C133"/>
      <c r="D133"/>
      <c r="E133"/>
      <c r="F133" s="191"/>
      <c r="G133"/>
      <c r="H133"/>
      <c r="I133"/>
      <c r="J133"/>
      <c r="K133"/>
      <c r="L133"/>
      <c r="M133"/>
      <c r="N133" s="191"/>
      <c r="O133"/>
      <c r="P133"/>
      <c r="Q133" s="298"/>
      <c r="R133"/>
      <c r="S133" s="64" t="s">
        <v>58</v>
      </c>
      <c r="T133" s="53">
        <f>D82</f>
        <v>198746.32193181824</v>
      </c>
      <c r="U133" s="157">
        <f t="shared" si="79"/>
        <v>7.1831039999999693E-2</v>
      </c>
      <c r="V133" s="57">
        <f>F82*1.5</f>
        <v>1.1483903999999999E-3</v>
      </c>
      <c r="W133" s="83">
        <f t="shared" si="80"/>
        <v>228.2383681418095</v>
      </c>
      <c r="X133" s="58">
        <v>0.02</v>
      </c>
      <c r="Y133" s="258">
        <f t="shared" si="81"/>
        <v>4564767.3628361905</v>
      </c>
      <c r="Z133"/>
      <c r="AA133" s="64" t="s">
        <v>58</v>
      </c>
      <c r="AB133" s="53">
        <f>L82</f>
        <v>208683.63802840916</v>
      </c>
      <c r="AC133" s="157">
        <f t="shared" si="82"/>
        <v>0.39019999999999994</v>
      </c>
      <c r="AD133" s="57">
        <f>N82*1.5</f>
        <v>1.5204688895999996E-3</v>
      </c>
      <c r="AE133" s="83">
        <f t="shared" si="83"/>
        <v>317.29697939074356</v>
      </c>
      <c r="AF133" s="60">
        <f t="shared" si="85"/>
        <v>0.02</v>
      </c>
      <c r="AG133" s="258">
        <f t="shared" si="84"/>
        <v>6345939.5878148712</v>
      </c>
      <c r="AH133"/>
      <c r="AI133"/>
      <c r="AJ133"/>
      <c r="AK133"/>
    </row>
    <row r="134" spans="1:37" s="173" customFormat="1" x14ac:dyDescent="0.35">
      <c r="A134" s="35"/>
      <c r="B134"/>
      <c r="C134"/>
      <c r="D134"/>
      <c r="E134"/>
      <c r="F134" s="191"/>
      <c r="G134"/>
      <c r="H134"/>
      <c r="I134"/>
      <c r="J134"/>
      <c r="K134"/>
      <c r="L134"/>
      <c r="M134"/>
      <c r="N134" s="191"/>
      <c r="O134"/>
      <c r="P134"/>
      <c r="Q134" s="298"/>
      <c r="R134"/>
      <c r="S134" s="64" t="s">
        <v>62</v>
      </c>
      <c r="T134" s="53">
        <f>D83</f>
        <v>6272.8804687500005</v>
      </c>
      <c r="U134" s="157">
        <f t="shared" si="79"/>
        <v>6.3517875000000126E-2</v>
      </c>
      <c r="V134" s="57">
        <f>F83*1.5</f>
        <v>1.1394834375000001E-3</v>
      </c>
      <c r="W134" s="83">
        <f t="shared" si="80"/>
        <v>7.1478433995578632</v>
      </c>
      <c r="X134" s="58">
        <v>0.02</v>
      </c>
      <c r="Y134" s="258">
        <f t="shared" si="81"/>
        <v>142956.86799115725</v>
      </c>
      <c r="Z134"/>
      <c r="AA134" s="64" t="s">
        <v>62</v>
      </c>
      <c r="AB134" s="53">
        <f>L83</f>
        <v>6586.524492187501</v>
      </c>
      <c r="AC134" s="157">
        <f t="shared" si="82"/>
        <v>0.37602500000000028</v>
      </c>
      <c r="AD134" s="57">
        <f>N83*1.5</f>
        <v>1.4932930448437504E-3</v>
      </c>
      <c r="AE134" s="83">
        <f t="shared" si="83"/>
        <v>9.8356112138766107</v>
      </c>
      <c r="AF134" s="60">
        <f t="shared" si="85"/>
        <v>0.02</v>
      </c>
      <c r="AG134" s="258">
        <f t="shared" si="84"/>
        <v>196712.22427753222</v>
      </c>
      <c r="AH134"/>
      <c r="AI134"/>
      <c r="AJ134"/>
      <c r="AK134"/>
    </row>
    <row r="135" spans="1:37" s="173" customFormat="1" x14ac:dyDescent="0.35">
      <c r="A135" s="35"/>
      <c r="B135"/>
      <c r="C135"/>
      <c r="D135"/>
      <c r="E135"/>
      <c r="F135" s="191"/>
      <c r="G135"/>
      <c r="H135"/>
      <c r="I135"/>
      <c r="J135"/>
      <c r="K135"/>
      <c r="L135"/>
      <c r="M135"/>
      <c r="N135" s="191"/>
      <c r="O135"/>
      <c r="P135"/>
      <c r="Q135" s="298"/>
      <c r="R135"/>
      <c r="S135" s="64" t="s">
        <v>204</v>
      </c>
      <c r="T135" s="53">
        <f>D84</f>
        <v>54035.330343750007</v>
      </c>
      <c r="U135" s="157">
        <f t="shared" si="79"/>
        <v>6.1579982399999865E-2</v>
      </c>
      <c r="V135" s="57">
        <f>F84*1.5</f>
        <v>1.1374071239999999E-3</v>
      </c>
      <c r="W135" s="83">
        <f t="shared" si="80"/>
        <v>61.460169680674625</v>
      </c>
      <c r="X135" s="58">
        <v>0.02</v>
      </c>
      <c r="Y135" s="258">
        <f t="shared" si="81"/>
        <v>1229203.3936134926</v>
      </c>
      <c r="Z135"/>
      <c r="AA135" s="64" t="s">
        <v>204</v>
      </c>
      <c r="AB135" s="53">
        <f>L84</f>
        <v>56737.096860937512</v>
      </c>
      <c r="AC135" s="157">
        <f t="shared" si="82"/>
        <v>0.38169500000000017</v>
      </c>
      <c r="AD135" s="57">
        <f>N84*1.5</f>
        <v>1.4967140344716E-3</v>
      </c>
      <c r="AE135" s="83">
        <f t="shared" si="83"/>
        <v>84.919209146939735</v>
      </c>
      <c r="AF135" s="60">
        <f t="shared" si="85"/>
        <v>0.02</v>
      </c>
      <c r="AG135" s="258">
        <f t="shared" si="84"/>
        <v>1698384.1829387946</v>
      </c>
      <c r="AH135"/>
      <c r="AI135"/>
      <c r="AJ135"/>
      <c r="AK135"/>
    </row>
    <row r="136" spans="1:37" s="173" customFormat="1" x14ac:dyDescent="0.35">
      <c r="A136" s="35"/>
      <c r="B136"/>
      <c r="C136"/>
      <c r="D136"/>
      <c r="E136"/>
      <c r="F136" s="191"/>
      <c r="G136"/>
      <c r="H136"/>
      <c r="I136"/>
      <c r="J136"/>
      <c r="K136"/>
      <c r="L136"/>
      <c r="M136"/>
      <c r="N136" s="191"/>
      <c r="O136"/>
      <c r="P136"/>
      <c r="Q136" s="298"/>
      <c r="R136"/>
      <c r="S136" s="64" t="s">
        <v>207</v>
      </c>
      <c r="T136" s="53">
        <f>D85</f>
        <v>2479.6327499999998</v>
      </c>
      <c r="U136" s="157">
        <f t="shared" si="79"/>
        <v>-4.4062499999999963E-2</v>
      </c>
      <c r="V136" s="57">
        <f>F85*1.5</f>
        <v>1.1471250000000001E-3</v>
      </c>
      <c r="W136" s="83">
        <f t="shared" si="80"/>
        <v>2.8444487183437501</v>
      </c>
      <c r="X136" s="58">
        <v>0.02</v>
      </c>
      <c r="Y136" s="258">
        <f t="shared" si="81"/>
        <v>56888.974366875002</v>
      </c>
      <c r="Z136"/>
      <c r="AA136" s="64" t="s">
        <v>207</v>
      </c>
      <c r="AB136" s="53">
        <f>L85</f>
        <v>2603.6143874999998</v>
      </c>
      <c r="AC136" s="157">
        <f t="shared" si="82"/>
        <v>0.28624999999999989</v>
      </c>
      <c r="AD136" s="57">
        <f>N85*1.5</f>
        <v>1.4052281250000001E-3</v>
      </c>
      <c r="AE136" s="83">
        <f t="shared" si="83"/>
        <v>3.6586721639696482</v>
      </c>
      <c r="AF136" s="60">
        <f t="shared" si="85"/>
        <v>0.02</v>
      </c>
      <c r="AG136" s="258">
        <f t="shared" si="84"/>
        <v>73173.443279392974</v>
      </c>
      <c r="AH136"/>
      <c r="AI136"/>
      <c r="AJ136"/>
      <c r="AK136"/>
    </row>
    <row r="137" spans="1:37" s="173" customFormat="1" x14ac:dyDescent="0.35">
      <c r="A137" s="35"/>
      <c r="B137"/>
      <c r="C137"/>
      <c r="D137"/>
      <c r="E137"/>
      <c r="F137" s="191"/>
      <c r="G137"/>
      <c r="H137"/>
      <c r="I137"/>
      <c r="J137"/>
      <c r="K137"/>
      <c r="L137"/>
      <c r="M137"/>
      <c r="N137" s="191"/>
      <c r="O137"/>
      <c r="P137"/>
      <c r="Q137" s="298"/>
      <c r="R137"/>
      <c r="S137" s="64" t="s">
        <v>215</v>
      </c>
      <c r="T137" s="53">
        <f>D86</f>
        <v>195159.49558875008</v>
      </c>
      <c r="U137" s="157">
        <f t="shared" si="79"/>
        <v>-0.15638945183360017</v>
      </c>
      <c r="V137" s="57">
        <f>F86*1.5</f>
        <v>9.0386844446399984E-4</v>
      </c>
      <c r="W137" s="83">
        <f t="shared" si="80"/>
        <v>176.39850970018239</v>
      </c>
      <c r="X137" s="58">
        <v>0.02</v>
      </c>
      <c r="Y137" s="258">
        <f t="shared" si="81"/>
        <v>3527970.1940036477</v>
      </c>
      <c r="Z137"/>
      <c r="AA137" s="64" t="s">
        <v>215</v>
      </c>
      <c r="AB137" s="53">
        <f>L86</f>
        <v>204917.47036818758</v>
      </c>
      <c r="AC137" s="157">
        <f t="shared" si="82"/>
        <v>0.18180625640000014</v>
      </c>
      <c r="AD137" s="57">
        <f>N86*1.5</f>
        <v>1.0173308406000868E-3</v>
      </c>
      <c r="AE137" s="83">
        <f t="shared" si="83"/>
        <v>208.46886238331166</v>
      </c>
      <c r="AF137" s="60">
        <f t="shared" si="85"/>
        <v>0.02</v>
      </c>
      <c r="AG137" s="258">
        <f t="shared" si="84"/>
        <v>4169377.2476662332</v>
      </c>
      <c r="AH137"/>
      <c r="AI137"/>
      <c r="AJ137"/>
      <c r="AK137"/>
    </row>
    <row r="138" spans="1:37" s="173" customFormat="1" ht="15" thickBot="1" x14ac:dyDescent="0.4">
      <c r="A138" s="35"/>
      <c r="B138"/>
      <c r="C138"/>
      <c r="D138"/>
      <c r="E138"/>
      <c r="F138" s="191"/>
      <c r="G138"/>
      <c r="H138"/>
      <c r="I138"/>
      <c r="J138"/>
      <c r="K138"/>
      <c r="L138"/>
      <c r="M138"/>
      <c r="N138" s="191"/>
      <c r="O138"/>
      <c r="P138"/>
      <c r="Q138" s="298"/>
      <c r="R138"/>
      <c r="S138" s="65" t="s">
        <v>116</v>
      </c>
      <c r="T138" s="66"/>
      <c r="U138" s="88"/>
      <c r="V138" s="67"/>
      <c r="W138" s="90"/>
      <c r="X138" s="28"/>
      <c r="Y138" s="259">
        <f>SUM(Y130:Y136)</f>
        <v>29804232.859524153</v>
      </c>
      <c r="Z138"/>
      <c r="AA138" s="65" t="s">
        <v>116</v>
      </c>
      <c r="AB138" s="66"/>
      <c r="AC138" s="88"/>
      <c r="AD138" s="67"/>
      <c r="AE138" s="90"/>
      <c r="AF138" s="28"/>
      <c r="AG138" s="259">
        <f>SUM(AG130:AG136)</f>
        <v>42668129.923149042</v>
      </c>
      <c r="AH138"/>
      <c r="AI138"/>
      <c r="AJ138"/>
      <c r="AK138"/>
    </row>
    <row r="139" spans="1:37" s="173" customFormat="1" ht="15" thickBot="1" x14ac:dyDescent="0.4">
      <c r="A139" s="35"/>
      <c r="B139"/>
      <c r="C139"/>
      <c r="D139"/>
      <c r="E139"/>
      <c r="F139" s="191"/>
      <c r="G139"/>
      <c r="H139"/>
      <c r="I139"/>
      <c r="J139"/>
      <c r="K139"/>
      <c r="L139"/>
      <c r="M139"/>
      <c r="N139" s="191"/>
      <c r="O139"/>
      <c r="P139"/>
      <c r="Q139" s="298"/>
      <c r="R139"/>
      <c r="S139" s="29"/>
      <c r="T139" s="38"/>
      <c r="U139" s="30"/>
      <c r="V139" s="50"/>
      <c r="W139" s="82"/>
      <c r="X139"/>
      <c r="Y139" s="252"/>
      <c r="Z139"/>
      <c r="AA139"/>
      <c r="AB139"/>
      <c r="AC139" s="30"/>
      <c r="AD139"/>
      <c r="AE139" s="82"/>
      <c r="AF139"/>
      <c r="AG139" s="252"/>
      <c r="AH139"/>
      <c r="AI139"/>
      <c r="AJ139"/>
      <c r="AK139"/>
    </row>
    <row r="140" spans="1:37" s="173" customFormat="1" x14ac:dyDescent="0.35">
      <c r="A140" s="35"/>
      <c r="B140"/>
      <c r="C140"/>
      <c r="D140"/>
      <c r="E140"/>
      <c r="F140" s="191"/>
      <c r="G140"/>
      <c r="H140"/>
      <c r="I140"/>
      <c r="J140"/>
      <c r="K140"/>
      <c r="L140"/>
      <c r="M140"/>
      <c r="N140" s="191"/>
      <c r="O140"/>
      <c r="P140"/>
      <c r="Q140" s="298"/>
      <c r="R140"/>
      <c r="S140" s="376" t="s">
        <v>165</v>
      </c>
      <c r="T140" s="377"/>
      <c r="U140" s="377"/>
      <c r="V140" s="377"/>
      <c r="W140" s="377"/>
      <c r="X140" s="377"/>
      <c r="Y140" s="378"/>
      <c r="Z140"/>
      <c r="AA140"/>
      <c r="AB140"/>
      <c r="AC140" s="30"/>
      <c r="AD140"/>
      <c r="AE140" s="82"/>
      <c r="AF140"/>
      <c r="AG140" s="252"/>
      <c r="AH140"/>
      <c r="AI140"/>
      <c r="AJ140"/>
      <c r="AK140"/>
    </row>
    <row r="141" spans="1:37" s="173" customFormat="1" x14ac:dyDescent="0.35">
      <c r="A141" s="35"/>
      <c r="B141" s="31"/>
      <c r="C141"/>
      <c r="D141"/>
      <c r="E141"/>
      <c r="F141" s="191"/>
      <c r="G141"/>
      <c r="H141"/>
      <c r="I141"/>
      <c r="J141"/>
      <c r="K141"/>
      <c r="L141"/>
      <c r="M141"/>
      <c r="N141" s="191"/>
      <c r="O141"/>
      <c r="P141"/>
      <c r="Q141" s="298"/>
      <c r="R141"/>
      <c r="S141" s="62"/>
      <c r="T141" s="45" t="s">
        <v>82</v>
      </c>
      <c r="U141" s="32" t="s">
        <v>226</v>
      </c>
      <c r="V141" s="49" t="s">
        <v>145</v>
      </c>
      <c r="W141" s="159" t="s">
        <v>83</v>
      </c>
      <c r="X141" s="32" t="s">
        <v>143</v>
      </c>
      <c r="Y141" s="257" t="s">
        <v>110</v>
      </c>
      <c r="Z141" s="31"/>
      <c r="AA141" s="31"/>
      <c r="AB141" s="31"/>
      <c r="AC141" s="158"/>
      <c r="AD141" s="31"/>
      <c r="AE141" s="160"/>
      <c r="AF141" s="31"/>
      <c r="AG141" s="260"/>
      <c r="AH141"/>
      <c r="AI141"/>
      <c r="AJ141"/>
      <c r="AK141"/>
    </row>
    <row r="142" spans="1:37" s="173" customFormat="1" x14ac:dyDescent="0.35">
      <c r="A142" s="35"/>
      <c r="B142" s="31"/>
      <c r="C142"/>
      <c r="D142"/>
      <c r="E142"/>
      <c r="F142" s="191"/>
      <c r="G142"/>
      <c r="H142"/>
      <c r="I142"/>
      <c r="J142"/>
      <c r="K142"/>
      <c r="L142"/>
      <c r="M142"/>
      <c r="N142" s="191"/>
      <c r="O142"/>
      <c r="P142"/>
      <c r="Q142" s="298"/>
      <c r="R142"/>
      <c r="S142" s="63" t="s">
        <v>273</v>
      </c>
      <c r="T142" s="53">
        <f>D92</f>
        <v>11906.661481000006</v>
      </c>
      <c r="U142" s="157">
        <f>(W142-AE130)/AE130</f>
        <v>0.60354003906250009</v>
      </c>
      <c r="V142" s="57">
        <f>F92*1.5</f>
        <v>0.16278064058578307</v>
      </c>
      <c r="W142" s="83">
        <f>V142*T142</f>
        <v>1938.1739831152495</v>
      </c>
      <c r="X142" s="58">
        <v>0.02</v>
      </c>
      <c r="Y142" s="258">
        <f>X142*W142*1000000</f>
        <v>38763479.66230499</v>
      </c>
      <c r="Z142" s="31"/>
      <c r="AA142" s="31"/>
      <c r="AB142" s="31"/>
      <c r="AC142" s="32"/>
      <c r="AD142" s="31"/>
      <c r="AE142" s="159"/>
      <c r="AF142" s="31"/>
      <c r="AG142" s="260"/>
      <c r="AH142"/>
      <c r="AI142"/>
      <c r="AJ142"/>
      <c r="AK142"/>
    </row>
    <row r="143" spans="1:37" s="173" customFormat="1" x14ac:dyDescent="0.35">
      <c r="A143" s="35"/>
      <c r="B143"/>
      <c r="C143"/>
      <c r="D143"/>
      <c r="E143"/>
      <c r="F143" s="191"/>
      <c r="G143"/>
      <c r="H143"/>
      <c r="I143"/>
      <c r="J143"/>
      <c r="K143"/>
      <c r="L143"/>
      <c r="M143"/>
      <c r="N143" s="191"/>
      <c r="O143"/>
      <c r="P143"/>
      <c r="Q143" s="298"/>
      <c r="R143"/>
      <c r="S143" s="63" t="s">
        <v>274</v>
      </c>
      <c r="T143" s="53">
        <f>D94</f>
        <v>50820.925585007826</v>
      </c>
      <c r="U143" s="157">
        <f t="shared" ref="U143:U149" si="86">(W143-AE131)/AE131</f>
        <v>0.4700000000000002</v>
      </c>
      <c r="V143" s="57">
        <f>F94*1.5</f>
        <v>2.1688044E-3</v>
      </c>
      <c r="W143" s="83">
        <f t="shared" ref="W143:W149" si="87">V143*T143</f>
        <v>110.22064702083755</v>
      </c>
      <c r="X143" s="60">
        <f>X142</f>
        <v>0.02</v>
      </c>
      <c r="Y143" s="258">
        <f t="shared" ref="Y143:Y149" si="88">X143*W143*1000000</f>
        <v>2204412.940416751</v>
      </c>
      <c r="Z143"/>
      <c r="AA143"/>
      <c r="AB143"/>
      <c r="AC143" s="30"/>
      <c r="AD143"/>
      <c r="AE143" s="82"/>
      <c r="AF143"/>
      <c r="AG143" s="252"/>
      <c r="AH143"/>
      <c r="AI143"/>
      <c r="AJ143"/>
      <c r="AK143"/>
    </row>
    <row r="144" spans="1:37" s="173" customFormat="1" x14ac:dyDescent="0.35">
      <c r="A144" s="35"/>
      <c r="B144"/>
      <c r="C144"/>
      <c r="D144"/>
      <c r="E144"/>
      <c r="F144" s="191"/>
      <c r="G144"/>
      <c r="H144"/>
      <c r="I144"/>
      <c r="J144"/>
      <c r="K144"/>
      <c r="L144"/>
      <c r="M144"/>
      <c r="N144" s="191"/>
      <c r="O144"/>
      <c r="P144"/>
      <c r="Q144" s="298"/>
      <c r="R144"/>
      <c r="S144" s="64" t="s">
        <v>35</v>
      </c>
      <c r="T144" s="53">
        <f>D93</f>
        <v>344491.84908156411</v>
      </c>
      <c r="U144" s="157">
        <f t="shared" si="86"/>
        <v>0.51200000000000012</v>
      </c>
      <c r="V144" s="57">
        <f>F93*1.5</f>
        <v>1.9049960829419521E-3</v>
      </c>
      <c r="W144" s="83">
        <f t="shared" si="87"/>
        <v>656.25562310580972</v>
      </c>
      <c r="X144" s="60">
        <f t="shared" ref="X144:X149" si="89">X143</f>
        <v>0.02</v>
      </c>
      <c r="Y144" s="258">
        <f t="shared" si="88"/>
        <v>13125112.462116193</v>
      </c>
      <c r="Z144"/>
      <c r="AA144"/>
      <c r="AB144"/>
      <c r="AC144" s="30"/>
      <c r="AD144"/>
      <c r="AE144" s="82"/>
      <c r="AF144"/>
      <c r="AG144" s="252"/>
      <c r="AH144"/>
      <c r="AI144"/>
      <c r="AJ144"/>
      <c r="AK144"/>
    </row>
    <row r="145" spans="1:37" s="173" customFormat="1" x14ac:dyDescent="0.35">
      <c r="A145" s="35"/>
      <c r="B145"/>
      <c r="C145"/>
      <c r="D145"/>
      <c r="E145"/>
      <c r="F145" s="191"/>
      <c r="G145"/>
      <c r="H145"/>
      <c r="I145"/>
      <c r="J145"/>
      <c r="K145"/>
      <c r="L145"/>
      <c r="M145"/>
      <c r="N145" s="191"/>
      <c r="O145"/>
      <c r="P145"/>
      <c r="Q145" s="298"/>
      <c r="R145"/>
      <c r="S145" s="64" t="s">
        <v>58</v>
      </c>
      <c r="T145" s="53">
        <f>D95</f>
        <v>219117.81992982962</v>
      </c>
      <c r="U145" s="157">
        <f t="shared" si="86"/>
        <v>0.47</v>
      </c>
      <c r="V145" s="57">
        <f>F95*1.5</f>
        <v>2.1286564454399996E-3</v>
      </c>
      <c r="W145" s="83">
        <f t="shared" si="87"/>
        <v>466.42655970439301</v>
      </c>
      <c r="X145" s="60">
        <f t="shared" si="89"/>
        <v>0.02</v>
      </c>
      <c r="Y145" s="258">
        <f t="shared" si="88"/>
        <v>9328531.1940878611</v>
      </c>
      <c r="Z145"/>
      <c r="AA145"/>
      <c r="AB145"/>
      <c r="AC145" s="30"/>
      <c r="AD145"/>
      <c r="AE145" s="82"/>
      <c r="AF145"/>
      <c r="AG145" s="252"/>
      <c r="AH145"/>
      <c r="AI145"/>
      <c r="AJ145"/>
      <c r="AK145"/>
    </row>
    <row r="146" spans="1:37" s="173" customFormat="1" x14ac:dyDescent="0.35">
      <c r="A146" s="35"/>
      <c r="B146"/>
      <c r="C146"/>
      <c r="D146"/>
      <c r="E146"/>
      <c r="F146" s="191"/>
      <c r="G146"/>
      <c r="H146"/>
      <c r="I146"/>
      <c r="J146"/>
      <c r="K146"/>
      <c r="L146"/>
      <c r="M146"/>
      <c r="N146" s="191"/>
      <c r="O146"/>
      <c r="P146"/>
      <c r="Q146" s="298"/>
      <c r="R146"/>
      <c r="S146" s="64" t="s">
        <v>62</v>
      </c>
      <c r="T146" s="53">
        <f>D96</f>
        <v>6915.8507167968764</v>
      </c>
      <c r="U146" s="157">
        <f t="shared" si="86"/>
        <v>0.46999999999999986</v>
      </c>
      <c r="V146" s="57">
        <f>F96*1.5</f>
        <v>2.0906102627812504E-3</v>
      </c>
      <c r="W146" s="83">
        <f t="shared" si="87"/>
        <v>14.458348484398616</v>
      </c>
      <c r="X146" s="60">
        <f t="shared" si="89"/>
        <v>0.02</v>
      </c>
      <c r="Y146" s="258">
        <f t="shared" si="88"/>
        <v>289166.96968797233</v>
      </c>
      <c r="Z146"/>
      <c r="AA146"/>
      <c r="AB146"/>
      <c r="AC146" s="30"/>
      <c r="AD146"/>
      <c r="AE146" s="82"/>
      <c r="AF146"/>
      <c r="AG146" s="252"/>
      <c r="AH146"/>
      <c r="AI146"/>
      <c r="AJ146"/>
      <c r="AK146"/>
    </row>
    <row r="147" spans="1:37" s="173" customFormat="1" x14ac:dyDescent="0.35">
      <c r="A147" s="35"/>
      <c r="B147"/>
      <c r="C147"/>
      <c r="D147"/>
      <c r="E147"/>
      <c r="F147" s="191"/>
      <c r="G147"/>
      <c r="H147"/>
      <c r="I147"/>
      <c r="J147"/>
      <c r="K147"/>
      <c r="L147"/>
      <c r="M147"/>
      <c r="N147" s="191"/>
      <c r="O147"/>
      <c r="P147"/>
      <c r="Q147" s="298"/>
      <c r="R147"/>
      <c r="S147" s="64" t="s">
        <v>204</v>
      </c>
      <c r="T147" s="53">
        <f>D97</f>
        <v>59573.951703984392</v>
      </c>
      <c r="U147" s="157">
        <f t="shared" si="86"/>
        <v>0.47000000000000014</v>
      </c>
      <c r="V147" s="57">
        <f>F97*1.5</f>
        <v>2.0953996482602402E-3</v>
      </c>
      <c r="W147" s="83">
        <f t="shared" si="87"/>
        <v>124.83123744600142</v>
      </c>
      <c r="X147" s="60">
        <f t="shared" si="89"/>
        <v>0.02</v>
      </c>
      <c r="Y147" s="258">
        <f t="shared" si="88"/>
        <v>2496624.7489200286</v>
      </c>
      <c r="Z147"/>
      <c r="AA147"/>
      <c r="AB147"/>
      <c r="AC147" s="30"/>
      <c r="AD147"/>
      <c r="AE147" s="82"/>
      <c r="AF147"/>
      <c r="AG147" s="252"/>
      <c r="AH147"/>
      <c r="AI147"/>
      <c r="AJ147"/>
      <c r="AK147"/>
    </row>
    <row r="148" spans="1:37" s="173" customFormat="1" x14ac:dyDescent="0.35">
      <c r="A148" s="35"/>
      <c r="B148"/>
      <c r="C148"/>
      <c r="D148"/>
      <c r="E148"/>
      <c r="F148" s="191"/>
      <c r="G148"/>
      <c r="H148"/>
      <c r="I148"/>
      <c r="J148"/>
      <c r="K148"/>
      <c r="L148"/>
      <c r="M148"/>
      <c r="N148" s="191"/>
      <c r="O148"/>
      <c r="P148"/>
      <c r="Q148" s="298"/>
      <c r="R148"/>
      <c r="S148" s="64" t="s">
        <v>207</v>
      </c>
      <c r="T148" s="53">
        <f>D98</f>
        <v>2733.7951068749999</v>
      </c>
      <c r="U148" s="157">
        <f t="shared" si="86"/>
        <v>0.47000000000000003</v>
      </c>
      <c r="V148" s="57">
        <f>F98*1.5</f>
        <v>1.9673193750000002E-3</v>
      </c>
      <c r="W148" s="83">
        <f t="shared" si="87"/>
        <v>5.378248081035383</v>
      </c>
      <c r="X148" s="60">
        <f t="shared" si="89"/>
        <v>0.02</v>
      </c>
      <c r="Y148" s="258">
        <f t="shared" si="88"/>
        <v>107564.96162070766</v>
      </c>
      <c r="Z148"/>
      <c r="AA148"/>
      <c r="AB148"/>
      <c r="AC148" s="30"/>
      <c r="AD148"/>
      <c r="AE148" s="82"/>
      <c r="AF148"/>
      <c r="AG148" s="252"/>
      <c r="AH148"/>
      <c r="AI148"/>
      <c r="AJ148"/>
      <c r="AK148"/>
    </row>
    <row r="149" spans="1:37" s="173" customFormat="1" x14ac:dyDescent="0.35">
      <c r="A149" s="35"/>
      <c r="B149"/>
      <c r="C149"/>
      <c r="D149"/>
      <c r="E149"/>
      <c r="F149" s="191"/>
      <c r="G149"/>
      <c r="H149"/>
      <c r="I149"/>
      <c r="J149"/>
      <c r="K149"/>
      <c r="L149"/>
      <c r="M149"/>
      <c r="N149" s="191"/>
      <c r="O149"/>
      <c r="P149"/>
      <c r="Q149" s="298"/>
      <c r="R149"/>
      <c r="S149" s="64" t="s">
        <v>215</v>
      </c>
      <c r="T149" s="53">
        <f>D99</f>
        <v>215163.34388659697</v>
      </c>
      <c r="U149" s="157">
        <f t="shared" si="86"/>
        <v>0.46999999999999992</v>
      </c>
      <c r="V149" s="57">
        <f>F99*1.5</f>
        <v>1.4242631768401214E-3</v>
      </c>
      <c r="W149" s="83">
        <f t="shared" si="87"/>
        <v>306.44922770346813</v>
      </c>
      <c r="X149" s="60">
        <f t="shared" si="89"/>
        <v>0.02</v>
      </c>
      <c r="Y149" s="258">
        <f t="shared" si="88"/>
        <v>6128984.5540693626</v>
      </c>
      <c r="Z149"/>
      <c r="AA149"/>
      <c r="AB149"/>
      <c r="AC149" s="30"/>
      <c r="AD149"/>
      <c r="AE149" s="82"/>
      <c r="AF149"/>
      <c r="AG149" s="252"/>
      <c r="AH149"/>
      <c r="AI149"/>
      <c r="AJ149"/>
      <c r="AK149"/>
    </row>
    <row r="150" spans="1:37" s="173" customFormat="1" ht="15" thickBot="1" x14ac:dyDescent="0.4">
      <c r="A150" s="35"/>
      <c r="B150"/>
      <c r="C150"/>
      <c r="D150"/>
      <c r="E150"/>
      <c r="F150" s="191"/>
      <c r="G150"/>
      <c r="H150"/>
      <c r="I150"/>
      <c r="J150"/>
      <c r="K150"/>
      <c r="L150"/>
      <c r="M150"/>
      <c r="N150" s="191"/>
      <c r="O150"/>
      <c r="P150"/>
      <c r="Q150" s="298"/>
      <c r="R150"/>
      <c r="S150" s="65" t="s">
        <v>116</v>
      </c>
      <c r="T150" s="90">
        <f>SUM(T142:T149)</f>
        <v>910724.19749165478</v>
      </c>
      <c r="U150" s="88"/>
      <c r="V150" s="67"/>
      <c r="W150" s="90"/>
      <c r="X150" s="28"/>
      <c r="Y150" s="259">
        <f>SUM(Y142:Y148)</f>
        <v>66314892.939154513</v>
      </c>
      <c r="Z150"/>
      <c r="AA150"/>
      <c r="AB150"/>
      <c r="AC150" s="30"/>
      <c r="AD150"/>
      <c r="AE150" s="82"/>
      <c r="AF150"/>
      <c r="AG150" s="252"/>
      <c r="AH150"/>
      <c r="AI150"/>
      <c r="AJ150"/>
      <c r="AK150"/>
    </row>
    <row r="151" spans="1:37" s="173" customFormat="1" x14ac:dyDescent="0.35">
      <c r="A151" s="35"/>
      <c r="B151"/>
      <c r="C151"/>
      <c r="D151"/>
      <c r="E151"/>
      <c r="F151" s="191"/>
      <c r="G151"/>
      <c r="H151"/>
      <c r="I151"/>
      <c r="J151"/>
      <c r="K151"/>
      <c r="L151"/>
      <c r="M151"/>
      <c r="N151" s="191"/>
      <c r="O151"/>
      <c r="P151"/>
      <c r="Q151" s="298"/>
      <c r="R151"/>
      <c r="S151"/>
      <c r="T151"/>
      <c r="U151" s="30"/>
      <c r="V151"/>
      <c r="W151" s="82"/>
      <c r="X151"/>
      <c r="Y151" s="252"/>
      <c r="Z151"/>
      <c r="AA151"/>
      <c r="AB151"/>
      <c r="AC151" s="30"/>
      <c r="AD151"/>
      <c r="AE151" s="82"/>
      <c r="AF151"/>
      <c r="AG151" s="252"/>
      <c r="AH151"/>
      <c r="AI151"/>
      <c r="AJ151"/>
      <c r="AK151"/>
    </row>
    <row r="152" spans="1:37" s="173" customFormat="1" ht="14.5" hidden="1" customHeight="1" x14ac:dyDescent="0.35">
      <c r="A152" s="35"/>
      <c r="B152"/>
      <c r="C152"/>
      <c r="D152"/>
      <c r="E152"/>
      <c r="F152" s="191"/>
      <c r="G152"/>
      <c r="H152"/>
      <c r="I152"/>
      <c r="J152"/>
      <c r="K152"/>
      <c r="L152"/>
      <c r="M152"/>
      <c r="N152" s="191"/>
      <c r="O152"/>
      <c r="P152"/>
      <c r="Q152" s="298"/>
      <c r="R152"/>
      <c r="S152"/>
      <c r="T152"/>
      <c r="U152" s="30"/>
      <c r="V152"/>
      <c r="W152" s="82"/>
      <c r="X152"/>
      <c r="Y152" s="252"/>
      <c r="Z152"/>
      <c r="AA152"/>
      <c r="AB152"/>
      <c r="AC152" s="30"/>
      <c r="AD152"/>
      <c r="AE152" s="82"/>
      <c r="AF152"/>
      <c r="AG152" s="252"/>
      <c r="AH152"/>
      <c r="AI152"/>
      <c r="AJ152"/>
      <c r="AK152"/>
    </row>
    <row r="153" spans="1:37" s="173" customFormat="1" ht="14.5" hidden="1" customHeight="1" x14ac:dyDescent="0.35">
      <c r="A153" s="35"/>
      <c r="B153"/>
      <c r="C153"/>
      <c r="D153"/>
      <c r="E153"/>
      <c r="F153" s="191"/>
      <c r="G153"/>
      <c r="H153"/>
      <c r="I153"/>
      <c r="J153"/>
      <c r="K153"/>
      <c r="L153"/>
      <c r="M153"/>
      <c r="N153" s="191"/>
      <c r="O153"/>
      <c r="P153"/>
      <c r="Q153" s="298"/>
      <c r="R153"/>
      <c r="S153"/>
      <c r="T153"/>
      <c r="U153" s="30"/>
      <c r="V153"/>
      <c r="W153" s="82"/>
      <c r="X153"/>
      <c r="Y153" s="252"/>
      <c r="Z153"/>
      <c r="AA153"/>
      <c r="AB153"/>
      <c r="AC153" s="30"/>
      <c r="AD153"/>
      <c r="AE153" s="82"/>
      <c r="AF153"/>
      <c r="AG153" s="252"/>
      <c r="AH153"/>
      <c r="AI153"/>
      <c r="AJ153"/>
      <c r="AK153"/>
    </row>
    <row r="154" spans="1:37" s="173" customFormat="1" ht="29" hidden="1" customHeight="1" x14ac:dyDescent="0.35">
      <c r="A154" s="35"/>
      <c r="B154"/>
      <c r="C154"/>
      <c r="D154"/>
      <c r="E154"/>
      <c r="F154" s="191"/>
      <c r="G154"/>
      <c r="H154"/>
      <c r="I154"/>
      <c r="J154"/>
      <c r="K154"/>
      <c r="L154"/>
      <c r="M154"/>
      <c r="N154" s="191"/>
      <c r="O154"/>
      <c r="P154"/>
      <c r="Q154" s="298"/>
      <c r="R154"/>
      <c r="S154"/>
      <c r="T154"/>
      <c r="U154" s="30"/>
      <c r="V154"/>
      <c r="W154" s="82"/>
      <c r="X154"/>
      <c r="Y154" s="252"/>
      <c r="Z154"/>
      <c r="AA154"/>
      <c r="AB154"/>
      <c r="AC154" s="30"/>
      <c r="AD154"/>
      <c r="AE154" s="82"/>
      <c r="AF154"/>
      <c r="AG154" s="252"/>
      <c r="AH154"/>
      <c r="AI154"/>
      <c r="AJ154"/>
      <c r="AK154"/>
    </row>
    <row r="155" spans="1:37" x14ac:dyDescent="0.35">
      <c r="B155" s="268"/>
      <c r="C155" s="269"/>
      <c r="D155" s="270"/>
      <c r="E155" s="269"/>
      <c r="I155" s="271"/>
      <c r="K155" s="231"/>
      <c r="Q155" s="305"/>
      <c r="S155" s="38"/>
      <c r="T155" s="50"/>
      <c r="U155" s="38"/>
      <c r="Y155" s="256"/>
      <c r="AA155" s="82"/>
      <c r="AC155"/>
      <c r="AG155" s="256"/>
    </row>
    <row r="156" spans="1:37" x14ac:dyDescent="0.35">
      <c r="B156" s="268"/>
      <c r="C156" s="269"/>
      <c r="D156" s="270"/>
      <c r="E156" s="269"/>
      <c r="I156" s="271"/>
      <c r="K156" s="231"/>
      <c r="Q156" s="305"/>
      <c r="S156" s="38"/>
      <c r="T156" s="50"/>
      <c r="U156" s="38"/>
      <c r="Y156" s="256"/>
      <c r="AA156" s="82"/>
      <c r="AC156"/>
      <c r="AG156" s="256"/>
    </row>
    <row r="157" spans="1:37" x14ac:dyDescent="0.35">
      <c r="S157" s="38"/>
      <c r="T157" s="50"/>
      <c r="U157" s="38"/>
      <c r="Y157" s="256"/>
      <c r="AA157" s="82"/>
      <c r="AC157"/>
      <c r="AG157" s="256"/>
    </row>
    <row r="158" spans="1:37" x14ac:dyDescent="0.35"/>
    <row r="159" spans="1:37" s="35" customFormat="1" x14ac:dyDescent="0.35">
      <c r="B159" s="29"/>
      <c r="C159" s="38"/>
      <c r="D159" s="50"/>
      <c r="E159" s="38"/>
      <c r="F159" s="191"/>
      <c r="G159"/>
      <c r="H159"/>
      <c r="I159" s="256"/>
      <c r="J159"/>
      <c r="K159" s="82"/>
      <c r="L159"/>
      <c r="M159"/>
      <c r="N159" s="191"/>
      <c r="O159"/>
      <c r="P159"/>
      <c r="Q159" s="296"/>
      <c r="R159"/>
      <c r="S159"/>
      <c r="T159"/>
      <c r="U159" s="30"/>
      <c r="V159"/>
      <c r="W159"/>
      <c r="X159"/>
      <c r="Y159"/>
      <c r="Z159"/>
      <c r="AA159" s="165"/>
      <c r="AB159"/>
      <c r="AC159" s="30"/>
      <c r="AD159"/>
      <c r="AE159"/>
      <c r="AF159"/>
      <c r="AG159"/>
      <c r="AH159"/>
      <c r="AI159"/>
      <c r="AJ159"/>
      <c r="AK159"/>
    </row>
    <row r="160" spans="1:37" s="35" customFormat="1" x14ac:dyDescent="0.35">
      <c r="B160" s="29"/>
      <c r="C160" s="38"/>
      <c r="D160" s="50"/>
      <c r="E160" s="38"/>
      <c r="F160" s="191"/>
      <c r="G160"/>
      <c r="H160"/>
      <c r="I160" s="256"/>
      <c r="J160"/>
      <c r="K160" s="82"/>
      <c r="L160"/>
      <c r="M160"/>
      <c r="N160" s="191"/>
      <c r="O160"/>
      <c r="P160"/>
      <c r="Q160" s="296"/>
      <c r="R160"/>
      <c r="S160"/>
      <c r="T160"/>
      <c r="U160" s="30"/>
      <c r="V160"/>
      <c r="W160"/>
      <c r="X160"/>
      <c r="Y160"/>
      <c r="Z160"/>
      <c r="AA160" s="165"/>
      <c r="AB160"/>
      <c r="AC160" s="30"/>
      <c r="AD160"/>
      <c r="AE160"/>
      <c r="AF160"/>
      <c r="AG160"/>
      <c r="AH160"/>
      <c r="AI160"/>
      <c r="AJ160"/>
      <c r="AK160"/>
    </row>
    <row r="161" spans="2:37" s="35" customFormat="1" x14ac:dyDescent="0.35">
      <c r="B161" s="29"/>
      <c r="C161" s="38"/>
      <c r="D161" s="50"/>
      <c r="E161" s="38"/>
      <c r="F161" s="191"/>
      <c r="G161"/>
      <c r="H161"/>
      <c r="I161" s="256"/>
      <c r="J161"/>
      <c r="K161" s="82"/>
      <c r="L161"/>
      <c r="M161"/>
      <c r="N161" s="191"/>
      <c r="O161"/>
      <c r="P161"/>
      <c r="Q161" s="296"/>
      <c r="R161"/>
      <c r="S161"/>
      <c r="T161"/>
      <c r="U161" s="30"/>
      <c r="V161"/>
      <c r="W161"/>
      <c r="X161"/>
      <c r="Y161"/>
      <c r="Z161"/>
      <c r="AA161" s="165"/>
      <c r="AB161"/>
      <c r="AC161" s="30"/>
      <c r="AD161"/>
      <c r="AE161"/>
      <c r="AF161"/>
      <c r="AG161"/>
      <c r="AH161"/>
      <c r="AI161"/>
      <c r="AJ161"/>
      <c r="AK161"/>
    </row>
    <row r="162" spans="2:37" s="35" customFormat="1" x14ac:dyDescent="0.35">
      <c r="B162" s="29"/>
      <c r="C162" s="38"/>
      <c r="D162" s="50"/>
      <c r="E162" s="38"/>
      <c r="F162" s="191"/>
      <c r="G162"/>
      <c r="H162"/>
      <c r="I162" s="256"/>
      <c r="J162"/>
      <c r="K162" s="82"/>
      <c r="L162"/>
      <c r="M162"/>
      <c r="N162" s="191"/>
      <c r="O162"/>
      <c r="P162"/>
      <c r="Q162" s="296"/>
      <c r="R162"/>
      <c r="S162"/>
      <c r="T162"/>
      <c r="U162" s="30"/>
      <c r="V162"/>
      <c r="W162"/>
      <c r="X162"/>
      <c r="Y162"/>
      <c r="Z162"/>
      <c r="AA162" s="165"/>
      <c r="AB162"/>
      <c r="AC162" s="30"/>
      <c r="AD162"/>
      <c r="AE162"/>
      <c r="AF162"/>
      <c r="AG162"/>
      <c r="AH162"/>
      <c r="AI162"/>
      <c r="AJ162"/>
      <c r="AK162"/>
    </row>
    <row r="163" spans="2:37" s="35" customFormat="1" x14ac:dyDescent="0.35">
      <c r="B163" s="29"/>
      <c r="C163" s="38"/>
      <c r="D163" s="50"/>
      <c r="E163" s="38"/>
      <c r="F163" s="191"/>
      <c r="G163"/>
      <c r="H163"/>
      <c r="I163" s="256"/>
      <c r="J163"/>
      <c r="K163" s="82"/>
      <c r="L163"/>
      <c r="M163"/>
      <c r="N163" s="191"/>
      <c r="O163"/>
      <c r="P163"/>
      <c r="Q163" s="296"/>
      <c r="R163"/>
      <c r="S163"/>
      <c r="T163"/>
      <c r="U163" s="30"/>
      <c r="V163"/>
      <c r="W163"/>
      <c r="X163"/>
      <c r="Y163"/>
      <c r="Z163"/>
      <c r="AA163" s="165"/>
      <c r="AB163"/>
      <c r="AC163" s="30"/>
      <c r="AD163"/>
      <c r="AE163"/>
      <c r="AF163"/>
      <c r="AG163"/>
      <c r="AH163"/>
      <c r="AI163"/>
      <c r="AJ163"/>
      <c r="AK163"/>
    </row>
    <row r="164" spans="2:37" s="35" customFormat="1" x14ac:dyDescent="0.35">
      <c r="B164" s="29"/>
      <c r="C164" s="38"/>
      <c r="D164" s="50"/>
      <c r="E164" s="38"/>
      <c r="F164" s="191"/>
      <c r="G164"/>
      <c r="H164"/>
      <c r="I164" s="256"/>
      <c r="J164"/>
      <c r="K164" s="82"/>
      <c r="L164"/>
      <c r="M164"/>
      <c r="N164" s="191"/>
      <c r="O164"/>
      <c r="P164"/>
      <c r="Q164" s="296"/>
      <c r="R164"/>
      <c r="S164"/>
      <c r="T164"/>
      <c r="U164" s="30"/>
      <c r="V164"/>
      <c r="W164"/>
      <c r="X164"/>
      <c r="Y164"/>
      <c r="Z164"/>
      <c r="AA164" s="165"/>
      <c r="AB164"/>
      <c r="AC164" s="30"/>
      <c r="AD164"/>
      <c r="AE164"/>
      <c r="AF164"/>
      <c r="AG164"/>
      <c r="AH164"/>
      <c r="AI164"/>
      <c r="AJ164"/>
      <c r="AK164"/>
    </row>
    <row r="165" spans="2:37" s="35" customFormat="1" x14ac:dyDescent="0.35">
      <c r="B165" s="29"/>
      <c r="C165" s="38"/>
      <c r="D165" s="50"/>
      <c r="E165" s="38"/>
      <c r="F165" s="191"/>
      <c r="G165"/>
      <c r="H165"/>
      <c r="I165" s="256"/>
      <c r="J165"/>
      <c r="K165" s="82"/>
      <c r="L165"/>
      <c r="M165"/>
      <c r="N165" s="191"/>
      <c r="O165"/>
      <c r="P165"/>
      <c r="Q165" s="296"/>
      <c r="R165"/>
      <c r="S165"/>
      <c r="T165"/>
      <c r="U165" s="30"/>
      <c r="V165"/>
      <c r="W165"/>
      <c r="X165"/>
      <c r="Y165"/>
      <c r="Z165"/>
      <c r="AA165" s="165"/>
      <c r="AB165"/>
      <c r="AC165" s="30"/>
      <c r="AD165"/>
      <c r="AE165"/>
      <c r="AF165"/>
      <c r="AG165"/>
      <c r="AH165"/>
      <c r="AI165"/>
      <c r="AJ165"/>
      <c r="AK165"/>
    </row>
    <row r="166" spans="2:37" x14ac:dyDescent="0.35"/>
    <row r="167" spans="2:37" x14ac:dyDescent="0.35"/>
    <row r="168" spans="2:37" x14ac:dyDescent="0.35"/>
    <row r="169" spans="2:37" x14ac:dyDescent="0.35"/>
    <row r="170" spans="2:37" x14ac:dyDescent="0.35"/>
    <row r="171" spans="2:37" x14ac:dyDescent="0.35"/>
    <row r="172" spans="2:37" x14ac:dyDescent="0.35"/>
    <row r="173" spans="2:37" x14ac:dyDescent="0.35"/>
    <row r="174" spans="2:37" x14ac:dyDescent="0.35"/>
    <row r="175" spans="2:37" x14ac:dyDescent="0.35"/>
    <row r="176" spans="2:37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</sheetData>
  <mergeCells count="60">
    <mergeCell ref="S128:Y128"/>
    <mergeCell ref="AA128:AG128"/>
    <mergeCell ref="S140:Y140"/>
    <mergeCell ref="C90:I90"/>
    <mergeCell ref="S90:Y90"/>
    <mergeCell ref="S104:Y104"/>
    <mergeCell ref="AA104:AG104"/>
    <mergeCell ref="S116:Y116"/>
    <mergeCell ref="AA116:AG116"/>
    <mergeCell ref="C77:I77"/>
    <mergeCell ref="K77:Q77"/>
    <mergeCell ref="S77:Y77"/>
    <mergeCell ref="AA77:AG77"/>
    <mergeCell ref="J41:K41"/>
    <mergeCell ref="S50:T50"/>
    <mergeCell ref="C51:I51"/>
    <mergeCell ref="K51:Q51"/>
    <mergeCell ref="S51:Y51"/>
    <mergeCell ref="B50:C50"/>
    <mergeCell ref="AA51:AG51"/>
    <mergeCell ref="C64:I64"/>
    <mergeCell ref="K64:Q64"/>
    <mergeCell ref="S64:Y64"/>
    <mergeCell ref="AA64:AG64"/>
    <mergeCell ref="P14:Q14"/>
    <mergeCell ref="F13:G13"/>
    <mergeCell ref="H13:I13"/>
    <mergeCell ref="J13:K13"/>
    <mergeCell ref="L13:M13"/>
    <mergeCell ref="N13:O13"/>
    <mergeCell ref="P13:Q13"/>
    <mergeCell ref="F14:G14"/>
    <mergeCell ref="H14:I14"/>
    <mergeCell ref="J14:K14"/>
    <mergeCell ref="L14:M14"/>
    <mergeCell ref="N14:O14"/>
    <mergeCell ref="C8:D8"/>
    <mergeCell ref="E8:F8"/>
    <mergeCell ref="G8:H8"/>
    <mergeCell ref="C9:D9"/>
    <mergeCell ref="E9:F9"/>
    <mergeCell ref="G9:H9"/>
    <mergeCell ref="C6:D6"/>
    <mergeCell ref="E6:F6"/>
    <mergeCell ref="G6:H6"/>
    <mergeCell ref="C7:D7"/>
    <mergeCell ref="E7:F7"/>
    <mergeCell ref="G7:H7"/>
    <mergeCell ref="C4:D4"/>
    <mergeCell ref="E4:F4"/>
    <mergeCell ref="G4:H4"/>
    <mergeCell ref="C5:D5"/>
    <mergeCell ref="E5:F5"/>
    <mergeCell ref="G5:H5"/>
    <mergeCell ref="C2:D2"/>
    <mergeCell ref="E2:F2"/>
    <mergeCell ref="G2:H2"/>
    <mergeCell ref="C3:D3"/>
    <mergeCell ref="E3:F3"/>
    <mergeCell ref="G3:H3"/>
  </mergeCells>
  <phoneticPr fontId="11" type="noConversion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B7A7E-5F59-4CF9-A612-1672ABD8F0A2}">
  <dimension ref="A1:AK151"/>
  <sheetViews>
    <sheetView topLeftCell="A35" zoomScale="85" zoomScaleNormal="85" workbookViewId="0">
      <selection activeCell="D39" sqref="D39"/>
    </sheetView>
  </sheetViews>
  <sheetFormatPr defaultColWidth="0" defaultRowHeight="14.5" zeroHeight="1" x14ac:dyDescent="0.35"/>
  <cols>
    <col min="1" max="1" width="3.54296875" style="35" customWidth="1"/>
    <col min="2" max="2" width="8.54296875" style="29" customWidth="1"/>
    <col min="3" max="3" width="12.1796875" style="38" customWidth="1"/>
    <col min="4" max="4" width="16.1796875" style="50" customWidth="1"/>
    <col min="5" max="5" width="15.54296875" style="38" customWidth="1"/>
    <col min="6" max="6" width="10.54296875" style="191" bestFit="1" customWidth="1"/>
    <col min="7" max="7" width="9.08984375" customWidth="1"/>
    <col min="8" max="8" width="8.1796875" customWidth="1"/>
    <col min="9" max="9" width="16.453125" style="256" customWidth="1"/>
    <col min="10" max="10" width="6.36328125" customWidth="1"/>
    <col min="11" max="11" width="11.6328125" style="82" customWidth="1"/>
    <col min="12" max="12" width="12.1796875" customWidth="1"/>
    <col min="13" max="13" width="9.6328125" customWidth="1"/>
    <col min="14" max="14" width="8.08984375" style="191" bestFit="1" customWidth="1"/>
    <col min="15" max="15" width="8.90625" customWidth="1"/>
    <col min="16" max="16" width="7.36328125" customWidth="1"/>
    <col min="17" max="17" width="15.453125" style="296" bestFit="1" customWidth="1"/>
    <col min="18" max="18" width="2.7265625" style="173" customWidth="1"/>
    <col min="19" max="19" width="10.453125" customWidth="1"/>
    <col min="20" max="20" width="12.08984375" customWidth="1"/>
    <col min="21" max="21" width="6.7265625" style="30" customWidth="1"/>
    <col min="22" max="22" width="8.6328125" customWidth="1"/>
    <col min="23" max="23" width="7.26953125" customWidth="1"/>
    <col min="24" max="24" width="7.08984375" customWidth="1"/>
    <col min="25" max="25" width="12.81640625" customWidth="1"/>
    <col min="26" max="26" width="2.453125" customWidth="1"/>
    <col min="27" max="27" width="10.1796875" style="165" customWidth="1"/>
    <col min="28" max="28" width="11.81640625" customWidth="1"/>
    <col min="29" max="29" width="8.36328125" style="30" customWidth="1"/>
    <col min="30" max="31" width="9.1796875" customWidth="1"/>
    <col min="32" max="32" width="7.453125" customWidth="1"/>
    <col min="33" max="33" width="14.08984375" customWidth="1"/>
    <col min="34" max="34" width="11.08984375" bestFit="1" customWidth="1"/>
    <col min="35" max="36" width="9.1796875" hidden="1" customWidth="1"/>
    <col min="37" max="37" width="0" hidden="1" customWidth="1"/>
    <col min="38" max="16384" width="9.1796875" hidden="1"/>
  </cols>
  <sheetData>
    <row r="1" spans="2:34" ht="30.75" customHeight="1" thickBot="1" x14ac:dyDescent="0.4">
      <c r="B1" s="73" t="s">
        <v>291</v>
      </c>
      <c r="AG1" s="33" t="s">
        <v>287</v>
      </c>
      <c r="AH1" s="262">
        <v>1000</v>
      </c>
    </row>
    <row r="2" spans="2:34" x14ac:dyDescent="0.35">
      <c r="B2" s="74"/>
      <c r="C2" s="363" t="s">
        <v>146</v>
      </c>
      <c r="D2" s="363"/>
      <c r="E2" s="364" t="s">
        <v>150</v>
      </c>
      <c r="F2" s="364"/>
      <c r="G2" s="363" t="s">
        <v>147</v>
      </c>
      <c r="H2" s="365"/>
      <c r="AG2" s="33" t="s">
        <v>286</v>
      </c>
      <c r="AH2" s="262">
        <v>1000000</v>
      </c>
    </row>
    <row r="3" spans="2:34" x14ac:dyDescent="0.35">
      <c r="B3" s="62" t="s">
        <v>142</v>
      </c>
      <c r="C3" s="366">
        <f>Y48</f>
        <v>0</v>
      </c>
      <c r="D3" s="366"/>
      <c r="E3" s="366">
        <f>I48</f>
        <v>6300937.5000000009</v>
      </c>
      <c r="F3" s="366"/>
      <c r="G3" s="367">
        <f>Y100</f>
        <v>14702.187500000002</v>
      </c>
      <c r="H3" s="367"/>
    </row>
    <row r="4" spans="2:34" ht="16.5" customHeight="1" x14ac:dyDescent="0.35">
      <c r="B4" s="62" t="s">
        <v>149</v>
      </c>
      <c r="C4" s="366">
        <f>AG48</f>
        <v>1715658.776313921</v>
      </c>
      <c r="D4" s="366"/>
      <c r="E4" s="366">
        <f>Q48</f>
        <v>14426769.514772728</v>
      </c>
      <c r="F4" s="366"/>
      <c r="G4" s="367">
        <f>AG100</f>
        <v>5146976.3289417624</v>
      </c>
      <c r="H4" s="367"/>
    </row>
    <row r="5" spans="2:34" ht="15.75" customHeight="1" x14ac:dyDescent="0.35">
      <c r="B5" s="62" t="s">
        <v>80</v>
      </c>
      <c r="C5" s="366">
        <f>Y61</f>
        <v>1806466.89893608</v>
      </c>
      <c r="D5" s="366"/>
      <c r="E5" s="366">
        <f>I61</f>
        <v>8419624.6098739356</v>
      </c>
      <c r="F5" s="366"/>
      <c r="G5" s="367">
        <f>Y112</f>
        <v>5419400.6968082394</v>
      </c>
      <c r="H5" s="367"/>
    </row>
    <row r="6" spans="2:34" ht="15" customHeight="1" x14ac:dyDescent="0.35">
      <c r="B6" s="62" t="s">
        <v>81</v>
      </c>
      <c r="C6" s="366">
        <f>AG61</f>
        <v>2856824.4321694821</v>
      </c>
      <c r="D6" s="366"/>
      <c r="E6" s="366">
        <f>Q61</f>
        <v>20812816.386618964</v>
      </c>
      <c r="F6" s="366"/>
      <c r="G6" s="367">
        <f>AG112</f>
        <v>8443196.6986725591</v>
      </c>
      <c r="H6" s="367"/>
    </row>
    <row r="7" spans="2:34" x14ac:dyDescent="0.35">
      <c r="B7" s="62" t="s">
        <v>84</v>
      </c>
      <c r="C7" s="366">
        <f>Y74</f>
        <v>9943032.4589199815</v>
      </c>
      <c r="D7" s="366"/>
      <c r="E7" s="366">
        <f>I74</f>
        <v>55976239.832589597</v>
      </c>
      <c r="F7" s="366"/>
      <c r="G7" s="367">
        <f>Y124</f>
        <v>29829097.376759946</v>
      </c>
      <c r="H7" s="367"/>
    </row>
    <row r="8" spans="2:34" x14ac:dyDescent="0.35">
      <c r="B8" s="62" t="s">
        <v>85</v>
      </c>
      <c r="C8" s="366">
        <f>AG74</f>
        <v>15115244.812337359</v>
      </c>
      <c r="D8" s="366"/>
      <c r="E8" s="366">
        <f>Q74</f>
        <v>129568675.90382153</v>
      </c>
      <c r="F8" s="366"/>
      <c r="G8" s="367">
        <f>AG124</f>
        <v>55529432.530209221</v>
      </c>
      <c r="H8" s="367"/>
    </row>
    <row r="9" spans="2:34" ht="13.5" customHeight="1" thickBot="1" x14ac:dyDescent="0.4">
      <c r="B9" s="76" t="s">
        <v>86</v>
      </c>
      <c r="C9" s="368">
        <f>Y86</f>
        <v>27261012.780137412</v>
      </c>
      <c r="D9" s="368"/>
      <c r="E9" s="368">
        <f>I88</f>
        <v>204457595.85103056</v>
      </c>
      <c r="F9" s="368"/>
      <c r="G9" s="368">
        <f>Y136</f>
        <v>81783038.340412214</v>
      </c>
      <c r="H9" s="369"/>
    </row>
    <row r="10" spans="2:34" ht="13.5" customHeight="1" x14ac:dyDescent="0.35">
      <c r="B10" s="171"/>
      <c r="C10" s="29"/>
      <c r="D10" s="29"/>
      <c r="E10" s="29"/>
    </row>
    <row r="11" spans="2:34" ht="13.5" customHeight="1" x14ac:dyDescent="0.35">
      <c r="B11" s="171" t="s">
        <v>292</v>
      </c>
      <c r="C11" s="29"/>
      <c r="D11" s="29"/>
      <c r="E11" s="29"/>
    </row>
    <row r="12" spans="2:34" ht="13.5" customHeight="1" x14ac:dyDescent="0.35">
      <c r="B12" s="171"/>
      <c r="C12" s="273"/>
      <c r="D12" s="273"/>
      <c r="E12" s="273" t="s">
        <v>152</v>
      </c>
      <c r="F12" s="324"/>
      <c r="G12" s="273"/>
      <c r="H12" s="273"/>
      <c r="I12" s="273"/>
      <c r="J12" s="273"/>
      <c r="K12" s="273"/>
    </row>
    <row r="13" spans="2:34" ht="13.5" customHeight="1" x14ac:dyDescent="0.35">
      <c r="C13" s="29"/>
      <c r="D13" s="29"/>
      <c r="E13" s="274">
        <v>0</v>
      </c>
      <c r="F13" s="371">
        <v>1</v>
      </c>
      <c r="G13" s="371"/>
      <c r="H13" s="371">
        <v>2</v>
      </c>
      <c r="I13" s="371"/>
      <c r="J13" s="372">
        <v>3</v>
      </c>
      <c r="K13" s="372"/>
      <c r="L13" s="372">
        <v>4</v>
      </c>
      <c r="M13" s="372"/>
      <c r="N13" s="372">
        <v>5</v>
      </c>
      <c r="O13" s="372"/>
      <c r="P13" s="373">
        <v>6</v>
      </c>
      <c r="Q13" s="373"/>
    </row>
    <row r="14" spans="2:34" ht="13.5" customHeight="1" x14ac:dyDescent="0.35">
      <c r="B14" s="275" t="s">
        <v>295</v>
      </c>
      <c r="C14" s="29"/>
      <c r="D14" s="29"/>
      <c r="E14" s="29">
        <f>E3</f>
        <v>6300937.5000000009</v>
      </c>
      <c r="F14" s="374">
        <f>E4</f>
        <v>14426769.514772728</v>
      </c>
      <c r="G14" s="374"/>
      <c r="H14" s="374">
        <f>E5</f>
        <v>8419624.6098739356</v>
      </c>
      <c r="I14" s="374"/>
      <c r="J14" s="374">
        <f>E6</f>
        <v>20812816.386618964</v>
      </c>
      <c r="K14" s="374"/>
      <c r="L14" s="375">
        <f>E7</f>
        <v>55976239.832589597</v>
      </c>
      <c r="M14" s="375"/>
      <c r="N14" s="374">
        <f>E8</f>
        <v>129568675.90382153</v>
      </c>
      <c r="O14" s="374"/>
      <c r="P14" s="370">
        <f>E9</f>
        <v>204457595.85103056</v>
      </c>
      <c r="Q14" s="370"/>
    </row>
    <row r="15" spans="2:34" ht="13.5" customHeight="1" x14ac:dyDescent="0.35">
      <c r="B15" s="275"/>
      <c r="C15" s="29"/>
      <c r="D15" s="29"/>
      <c r="E15" s="29"/>
      <c r="F15" s="325"/>
      <c r="G15" s="294"/>
      <c r="H15" s="294"/>
      <c r="I15" s="294"/>
      <c r="J15" s="294"/>
      <c r="K15" s="294"/>
      <c r="L15" s="272"/>
      <c r="M15" s="272"/>
      <c r="N15" s="325"/>
      <c r="O15" s="294"/>
      <c r="P15" s="295"/>
      <c r="Q15" s="297"/>
    </row>
    <row r="16" spans="2:34" ht="13.5" customHeight="1" x14ac:dyDescent="0.35">
      <c r="B16" s="275"/>
      <c r="C16" s="29"/>
      <c r="D16" s="29"/>
      <c r="E16" s="29"/>
      <c r="F16" s="325"/>
      <c r="G16" s="294"/>
      <c r="H16" s="294"/>
      <c r="I16" s="294"/>
      <c r="J16" s="294"/>
      <c r="K16" s="294"/>
      <c r="L16" s="272"/>
      <c r="M16" s="272"/>
      <c r="N16" s="325"/>
      <c r="O16" s="294"/>
      <c r="P16" s="295"/>
      <c r="Q16" s="297"/>
    </row>
    <row r="17" spans="2:17" ht="13.5" customHeight="1" x14ac:dyDescent="0.35">
      <c r="B17" s="275"/>
      <c r="C17" s="29"/>
      <c r="D17" s="29"/>
      <c r="E17" s="29"/>
      <c r="F17" s="325"/>
      <c r="G17" s="294"/>
      <c r="H17" s="294"/>
      <c r="I17" s="294"/>
      <c r="J17" s="294"/>
      <c r="K17" s="294"/>
      <c r="L17" s="272"/>
      <c r="M17" s="272"/>
      <c r="N17" s="325"/>
      <c r="O17" s="294"/>
      <c r="P17" s="295"/>
      <c r="Q17" s="297"/>
    </row>
    <row r="18" spans="2:17" ht="13.5" customHeight="1" x14ac:dyDescent="0.35">
      <c r="B18" s="275"/>
      <c r="C18" s="29"/>
      <c r="D18" s="29"/>
      <c r="E18" s="29"/>
      <c r="F18" s="325"/>
      <c r="G18" s="294"/>
      <c r="H18" s="294"/>
      <c r="I18" s="294"/>
      <c r="J18" s="294"/>
      <c r="K18" s="294"/>
      <c r="L18" s="272"/>
      <c r="M18" s="272"/>
      <c r="N18" s="325"/>
      <c r="O18" s="294"/>
      <c r="P18" s="295"/>
      <c r="Q18" s="297"/>
    </row>
    <row r="19" spans="2:17" ht="13.5" customHeight="1" x14ac:dyDescent="0.35">
      <c r="B19" s="275"/>
      <c r="C19" s="29"/>
      <c r="D19" s="29"/>
      <c r="E19" s="29"/>
      <c r="F19" s="325"/>
      <c r="G19" s="294"/>
      <c r="H19" s="294"/>
      <c r="I19" s="294"/>
      <c r="J19" s="294"/>
      <c r="K19" s="294"/>
      <c r="L19" s="272"/>
      <c r="M19" s="272"/>
      <c r="N19" s="325"/>
      <c r="O19" s="294"/>
      <c r="P19" s="295"/>
      <c r="Q19" s="297"/>
    </row>
    <row r="20" spans="2:17" ht="13.5" customHeight="1" x14ac:dyDescent="0.35">
      <c r="B20" s="275"/>
      <c r="C20" s="29"/>
      <c r="D20" s="29"/>
      <c r="E20" s="29"/>
      <c r="F20" s="325"/>
      <c r="G20" s="294"/>
      <c r="H20" s="294"/>
      <c r="I20" s="294"/>
      <c r="J20" s="294"/>
      <c r="K20" s="294"/>
      <c r="L20" s="272"/>
      <c r="M20" s="272"/>
      <c r="N20" s="325"/>
      <c r="O20" s="294"/>
      <c r="P20" s="295"/>
      <c r="Q20" s="297"/>
    </row>
    <row r="21" spans="2:17" ht="13.5" customHeight="1" x14ac:dyDescent="0.35">
      <c r="B21" s="275"/>
      <c r="C21" s="29"/>
      <c r="D21" s="29"/>
      <c r="E21" s="29"/>
      <c r="F21" s="325"/>
      <c r="G21" s="294"/>
      <c r="H21" s="294"/>
      <c r="I21" s="294"/>
      <c r="J21" s="294"/>
      <c r="K21" s="294"/>
      <c r="L21" s="272"/>
      <c r="M21" s="272"/>
      <c r="N21" s="325"/>
      <c r="O21" s="294"/>
      <c r="P21" s="295"/>
      <c r="Q21" s="297"/>
    </row>
    <row r="22" spans="2:17" ht="13.5" customHeight="1" x14ac:dyDescent="0.35">
      <c r="B22" s="275"/>
      <c r="C22" s="29"/>
      <c r="D22" s="29"/>
      <c r="E22" s="29"/>
      <c r="F22" s="325"/>
      <c r="G22" s="294"/>
      <c r="H22" s="294"/>
      <c r="I22" s="294"/>
      <c r="J22" s="294"/>
      <c r="K22" s="294"/>
      <c r="L22" s="272"/>
      <c r="M22" s="272"/>
      <c r="N22" s="325"/>
      <c r="O22" s="294"/>
      <c r="P22" s="295"/>
      <c r="Q22" s="297"/>
    </row>
    <row r="23" spans="2:17" ht="13.5" customHeight="1" x14ac:dyDescent="0.35">
      <c r="B23" s="275" t="s">
        <v>293</v>
      </c>
      <c r="C23" s="29"/>
      <c r="D23" s="29"/>
      <c r="E23" s="29"/>
    </row>
    <row r="24" spans="2:17" ht="13.5" customHeight="1" thickBot="1" x14ac:dyDescent="0.4">
      <c r="B24" s="275" t="s">
        <v>294</v>
      </c>
      <c r="C24" s="29"/>
      <c r="D24" s="29"/>
      <c r="E24" s="29"/>
    </row>
    <row r="25" spans="2:17" ht="13.5" customHeight="1" x14ac:dyDescent="0.35">
      <c r="B25" s="4" t="s">
        <v>434</v>
      </c>
      <c r="C25" s="187"/>
      <c r="D25" s="183"/>
      <c r="E25" s="183"/>
      <c r="F25" s="326"/>
      <c r="G25" s="183"/>
      <c r="H25" s="183"/>
      <c r="I25" s="183"/>
      <c r="J25" s="183"/>
      <c r="K25" s="183"/>
      <c r="L25" s="183"/>
      <c r="M25" s="183"/>
      <c r="N25" s="326"/>
      <c r="O25" s="184"/>
    </row>
    <row r="26" spans="2:17" ht="13.5" customHeight="1" x14ac:dyDescent="0.35">
      <c r="B26" s="9" t="s">
        <v>152</v>
      </c>
      <c r="C26" t="s">
        <v>278</v>
      </c>
      <c r="D26" t="s">
        <v>279</v>
      </c>
      <c r="E26" t="s">
        <v>426</v>
      </c>
      <c r="F26" s="191" t="s">
        <v>285</v>
      </c>
      <c r="G26" t="s">
        <v>277</v>
      </c>
      <c r="I26"/>
      <c r="J26" t="s">
        <v>281</v>
      </c>
      <c r="K26"/>
      <c r="O26" s="12"/>
    </row>
    <row r="27" spans="2:17" ht="13.5" customHeight="1" x14ac:dyDescent="0.35">
      <c r="B27" s="9">
        <v>1</v>
      </c>
      <c r="C27" s="252">
        <f>' TAM &amp; SOM'!F5</f>
        <v>6721</v>
      </c>
      <c r="D27" s="252">
        <f t="shared" ref="D27:D33" si="0">C27*$D$35</f>
        <v>4704.7</v>
      </c>
      <c r="E27" s="30">
        <v>0.5</v>
      </c>
      <c r="F27" s="333">
        <f>D27*G27</f>
        <v>235.23500000000001</v>
      </c>
      <c r="G27" s="30">
        <v>0.05</v>
      </c>
      <c r="H27" s="252"/>
      <c r="I27"/>
      <c r="J27" s="379">
        <f>E27</f>
        <v>0.5</v>
      </c>
      <c r="K27" s="379"/>
      <c r="O27" s="12"/>
    </row>
    <row r="28" spans="2:17" ht="13.5" customHeight="1" x14ac:dyDescent="0.35">
      <c r="B28" s="9">
        <v>2</v>
      </c>
      <c r="C28" s="252">
        <f>' TAM &amp; SOM'!G5</f>
        <v>7393.1</v>
      </c>
      <c r="D28" s="252">
        <f t="shared" si="0"/>
        <v>5175.17</v>
      </c>
      <c r="E28" s="30">
        <v>0.04</v>
      </c>
      <c r="G28" s="30"/>
      <c r="H28" s="252"/>
      <c r="I28"/>
      <c r="K28"/>
      <c r="O28" s="12"/>
    </row>
    <row r="29" spans="2:17" ht="13.5" customHeight="1" x14ac:dyDescent="0.35">
      <c r="B29" s="9">
        <v>3</v>
      </c>
      <c r="C29" s="252">
        <f>' TAM &amp; SOM'!H5</f>
        <v>8132.4100000000008</v>
      </c>
      <c r="D29" s="252">
        <f t="shared" si="0"/>
        <v>5692.6869999999999</v>
      </c>
      <c r="E29" s="30">
        <v>0.08</v>
      </c>
      <c r="G29" s="30"/>
      <c r="H29" s="252"/>
      <c r="I29"/>
      <c r="K29"/>
      <c r="O29" s="12"/>
    </row>
    <row r="30" spans="2:17" ht="13.5" customHeight="1" x14ac:dyDescent="0.35">
      <c r="B30" s="9">
        <v>4</v>
      </c>
      <c r="C30" s="252">
        <f>' TAM &amp; SOM'!I5</f>
        <v>8945.6510000000017</v>
      </c>
      <c r="D30" s="252">
        <f t="shared" si="0"/>
        <v>6261.9557000000004</v>
      </c>
      <c r="E30" s="30">
        <v>0.12</v>
      </c>
      <c r="G30" s="30"/>
      <c r="H30" s="252"/>
      <c r="I30"/>
      <c r="K30"/>
      <c r="O30" s="12"/>
    </row>
    <row r="31" spans="2:17" ht="13.5" customHeight="1" x14ac:dyDescent="0.35">
      <c r="B31" s="9">
        <v>5</v>
      </c>
      <c r="C31" s="252">
        <f>' TAM &amp; SOM'!J5</f>
        <v>9840.2161000000033</v>
      </c>
      <c r="D31" s="252">
        <f t="shared" si="0"/>
        <v>6888.1512700000021</v>
      </c>
      <c r="E31" s="30">
        <v>0.15</v>
      </c>
      <c r="G31" s="30"/>
      <c r="H31" s="252"/>
      <c r="I31"/>
      <c r="K31"/>
      <c r="O31" s="12"/>
    </row>
    <row r="32" spans="2:17" ht="13.5" customHeight="1" x14ac:dyDescent="0.35">
      <c r="B32" s="9">
        <v>6</v>
      </c>
      <c r="C32" s="252">
        <f>' TAM &amp; SOM'!K5</f>
        <v>10824.237710000005</v>
      </c>
      <c r="D32" s="252">
        <f t="shared" si="0"/>
        <v>7576.9663970000029</v>
      </c>
      <c r="E32" s="30">
        <v>0.2</v>
      </c>
      <c r="G32" s="30"/>
      <c r="H32" s="252"/>
      <c r="I32"/>
      <c r="K32"/>
      <c r="O32" s="12"/>
    </row>
    <row r="33" spans="2:33" ht="13.5" customHeight="1" x14ac:dyDescent="0.35">
      <c r="B33" s="9">
        <v>7</v>
      </c>
      <c r="C33" s="252">
        <f>' TAM &amp; SOM'!L5</f>
        <v>11906.661481000006</v>
      </c>
      <c r="D33" s="252">
        <f t="shared" si="0"/>
        <v>8334.6630367000034</v>
      </c>
      <c r="E33" s="30">
        <v>0.25</v>
      </c>
      <c r="G33" s="30"/>
      <c r="H33" s="252"/>
      <c r="I33"/>
      <c r="K33"/>
      <c r="O33" s="12"/>
    </row>
    <row r="34" spans="2:33" ht="13.5" customHeight="1" x14ac:dyDescent="0.35">
      <c r="B34" s="9"/>
      <c r="C34" t="s">
        <v>432</v>
      </c>
      <c r="D34"/>
      <c r="E34"/>
      <c r="I34"/>
      <c r="K34"/>
      <c r="O34" s="12"/>
    </row>
    <row r="35" spans="2:33" ht="13.5" customHeight="1" thickBot="1" x14ac:dyDescent="0.4">
      <c r="B35" s="65"/>
      <c r="C35" s="28" t="s">
        <v>276</v>
      </c>
      <c r="D35" s="88">
        <v>0.7</v>
      </c>
      <c r="E35" s="28" t="s">
        <v>275</v>
      </c>
      <c r="F35" s="327" t="s">
        <v>257</v>
      </c>
      <c r="G35" s="28" t="s">
        <v>433</v>
      </c>
      <c r="H35" s="28"/>
      <c r="I35" s="28"/>
      <c r="J35" s="28"/>
      <c r="K35" s="28"/>
      <c r="L35" s="28"/>
      <c r="M35" s="28"/>
      <c r="N35" s="327"/>
      <c r="O35" s="91"/>
    </row>
    <row r="36" spans="2:33" ht="18.75" customHeight="1" thickBot="1" x14ac:dyDescent="0.4">
      <c r="B36" s="41" t="s">
        <v>148</v>
      </c>
      <c r="C36" s="382" t="s">
        <v>290</v>
      </c>
      <c r="D36" s="382"/>
      <c r="E36" s="156"/>
      <c r="F36" s="328"/>
      <c r="G36" s="161"/>
      <c r="H36" s="43"/>
      <c r="I36" s="263"/>
      <c r="J36" s="43"/>
      <c r="K36" s="43"/>
      <c r="M36" s="30"/>
      <c r="N36" s="331"/>
      <c r="O36" s="82"/>
      <c r="Q36" s="298"/>
      <c r="R36" s="174"/>
      <c r="S36" s="380" t="s">
        <v>146</v>
      </c>
      <c r="T36" s="380"/>
      <c r="U36" s="172"/>
      <c r="V36" s="48"/>
      <c r="W36" s="44"/>
      <c r="X36" s="43"/>
      <c r="Y36" s="43"/>
      <c r="Z36" s="43"/>
      <c r="AA36" s="34"/>
      <c r="AD36" s="31"/>
    </row>
    <row r="37" spans="2:33" x14ac:dyDescent="0.35">
      <c r="B37" s="34"/>
      <c r="C37" s="376" t="s">
        <v>221</v>
      </c>
      <c r="D37" s="377"/>
      <c r="E37" s="377"/>
      <c r="F37" s="377"/>
      <c r="G37" s="377"/>
      <c r="H37" s="377"/>
      <c r="I37" s="378"/>
      <c r="J37" s="61"/>
      <c r="K37" s="376" t="s">
        <v>220</v>
      </c>
      <c r="L37" s="377"/>
      <c r="M37" s="377"/>
      <c r="N37" s="377"/>
      <c r="O37" s="377"/>
      <c r="P37" s="377"/>
      <c r="Q37" s="378"/>
      <c r="R37" s="175"/>
      <c r="S37" s="376" t="s">
        <v>149</v>
      </c>
      <c r="T37" s="377"/>
      <c r="U37" s="377"/>
      <c r="V37" s="377"/>
      <c r="W37" s="377"/>
      <c r="X37" s="377"/>
      <c r="Y37" s="378"/>
      <c r="Z37" s="61"/>
      <c r="AA37" s="376" t="s">
        <v>80</v>
      </c>
      <c r="AB37" s="377"/>
      <c r="AC37" s="377"/>
      <c r="AD37" s="377"/>
      <c r="AE37" s="377"/>
      <c r="AF37" s="377"/>
      <c r="AG37" s="378"/>
    </row>
    <row r="38" spans="2:33" x14ac:dyDescent="0.35">
      <c r="B38" s="31"/>
      <c r="C38" s="62"/>
      <c r="D38" s="45" t="s">
        <v>279</v>
      </c>
      <c r="E38" s="32" t="s">
        <v>226</v>
      </c>
      <c r="F38" s="329" t="s">
        <v>145</v>
      </c>
      <c r="G38" s="159" t="s">
        <v>83</v>
      </c>
      <c r="H38" s="32" t="s">
        <v>143</v>
      </c>
      <c r="I38" s="257" t="s">
        <v>166</v>
      </c>
      <c r="J38" s="55"/>
      <c r="K38" s="62"/>
      <c r="L38" s="45" t="s">
        <v>284</v>
      </c>
      <c r="M38" s="32" t="s">
        <v>226</v>
      </c>
      <c r="N38" s="329" t="s">
        <v>145</v>
      </c>
      <c r="O38" s="159" t="s">
        <v>83</v>
      </c>
      <c r="P38" s="32" t="s">
        <v>144</v>
      </c>
      <c r="Q38" s="299" t="s">
        <v>110</v>
      </c>
      <c r="R38" s="101"/>
      <c r="S38" s="62"/>
      <c r="T38" s="45" t="s">
        <v>284</v>
      </c>
      <c r="U38" s="32" t="s">
        <v>226</v>
      </c>
      <c r="V38" s="49" t="s">
        <v>145</v>
      </c>
      <c r="W38" s="51" t="s">
        <v>83</v>
      </c>
      <c r="X38" s="32" t="s">
        <v>143</v>
      </c>
      <c r="Y38" s="68" t="s">
        <v>110</v>
      </c>
      <c r="Z38" s="55"/>
      <c r="AA38" s="166"/>
      <c r="AB38" s="45" t="s">
        <v>284</v>
      </c>
      <c r="AC38" s="32" t="s">
        <v>226</v>
      </c>
      <c r="AD38" s="49" t="s">
        <v>145</v>
      </c>
      <c r="AE38" s="51" t="s">
        <v>83</v>
      </c>
      <c r="AF38" s="32" t="s">
        <v>144</v>
      </c>
      <c r="AG38" s="68" t="s">
        <v>110</v>
      </c>
    </row>
    <row r="39" spans="2:33" ht="19.5" customHeight="1" x14ac:dyDescent="0.35">
      <c r="B39" s="35"/>
      <c r="C39" s="63" t="s">
        <v>273</v>
      </c>
      <c r="D39" s="53">
        <f>' TAM &amp; SOM'!F19</f>
        <v>168.02500000000001</v>
      </c>
      <c r="E39" s="157"/>
      <c r="F39" s="11">
        <f>' TAM &amp; SOM'!C19/' TAM &amp; SOM'!C5</f>
        <v>2.5000000000000001E-2</v>
      </c>
      <c r="G39" s="336">
        <f>'Mrkting &amp; BD'!L38/1000000</f>
        <v>6.3009374999999999</v>
      </c>
      <c r="H39" s="11">
        <f>'Mrkting &amp; BD'!L27+'Mrkting &amp; BD'!L28</f>
        <v>3.7500000000000006E-2</v>
      </c>
      <c r="I39" s="264">
        <f>D39*H39*AH2</f>
        <v>6300937.5000000009</v>
      </c>
      <c r="K39" s="63" t="s">
        <v>273</v>
      </c>
      <c r="L39" s="53">
        <f>' TAM &amp; SOM'!G19</f>
        <v>184.82750000000001</v>
      </c>
      <c r="M39" s="157">
        <f>(L39-D39)/D39</f>
        <v>0.10000000000000005</v>
      </c>
      <c r="N39" s="58">
        <f>H39*1.45</f>
        <v>5.4375000000000007E-2</v>
      </c>
      <c r="O39" s="307">
        <f t="shared" ref="O39:O46" si="1">N39*L39</f>
        <v>10.049995312500002</v>
      </c>
      <c r="P39" s="58">
        <f>H39*1.25</f>
        <v>4.6875000000000007E-2</v>
      </c>
      <c r="Q39" s="300">
        <f>L39*P39*1000000</f>
        <v>8663789.0625000019</v>
      </c>
      <c r="R39" s="176"/>
      <c r="S39" s="63" t="s">
        <v>273</v>
      </c>
      <c r="T39" s="53">
        <f t="shared" ref="T39:T46" si="2">D39</f>
        <v>168.02500000000001</v>
      </c>
      <c r="U39" s="157"/>
      <c r="V39" s="50">
        <v>0</v>
      </c>
      <c r="W39" s="38">
        <f>V39*T39</f>
        <v>0</v>
      </c>
      <c r="X39" s="11">
        <v>1.7500000000000002E-2</v>
      </c>
      <c r="Y39" s="69">
        <f>X39*W39*1000000</f>
        <v>0</v>
      </c>
      <c r="AA39" s="63" t="s">
        <v>273</v>
      </c>
      <c r="AB39" s="53">
        <f t="shared" ref="AB39:AB46" si="3">L39</f>
        <v>184.82750000000001</v>
      </c>
      <c r="AC39" s="157">
        <v>1</v>
      </c>
      <c r="AD39" s="57">
        <f t="shared" ref="AD39:AD46" si="4">N39*0.5</f>
        <v>2.7187500000000003E-2</v>
      </c>
      <c r="AE39" s="52">
        <f>AD39*AB39</f>
        <v>5.0249976562500009</v>
      </c>
      <c r="AF39" s="58">
        <v>1.7500000000000002E-2</v>
      </c>
      <c r="AG39" s="71">
        <f>AF39*AE39*1000000</f>
        <v>87937.458984375029</v>
      </c>
    </row>
    <row r="40" spans="2:33" ht="13.5" customHeight="1" x14ac:dyDescent="0.35">
      <c r="B40" s="39"/>
      <c r="C40" s="64" t="s">
        <v>35</v>
      </c>
      <c r="D40" s="53">
        <f>' TAM &amp; SOM'!F20</f>
        <v>382.52500000000009</v>
      </c>
      <c r="E40" s="157" t="s">
        <v>227</v>
      </c>
      <c r="F40" s="60">
        <v>0</v>
      </c>
      <c r="G40" s="163"/>
      <c r="H40" s="11">
        <v>3.5000000000000003E-2</v>
      </c>
      <c r="I40" s="306"/>
      <c r="J40" s="36"/>
      <c r="K40" s="64" t="s">
        <v>35</v>
      </c>
      <c r="L40" s="53">
        <f>' TAM &amp; SOM'!G20</f>
        <v>413.12700000000012</v>
      </c>
      <c r="M40" s="157">
        <v>7.0000000000000007E-2</v>
      </c>
      <c r="N40" s="332">
        <v>0.01</v>
      </c>
      <c r="O40" s="307">
        <f>N40*L40</f>
        <v>4.1312700000000016</v>
      </c>
      <c r="P40" s="58">
        <v>0.05</v>
      </c>
      <c r="Q40" s="300">
        <f>P40*O40*1000000</f>
        <v>206563.50000000009</v>
      </c>
      <c r="R40" s="178"/>
      <c r="S40" s="64" t="s">
        <v>35</v>
      </c>
      <c r="T40" s="53">
        <f>D40</f>
        <v>382.52500000000009</v>
      </c>
      <c r="U40" s="157"/>
      <c r="V40" s="56">
        <v>0</v>
      </c>
      <c r="W40" s="47"/>
      <c r="X40" s="11">
        <v>1.7500000000000002E-2</v>
      </c>
      <c r="Y40" s="12"/>
      <c r="Z40" s="36"/>
      <c r="AA40" s="167" t="s">
        <v>35</v>
      </c>
      <c r="AB40" s="53">
        <f>L40</f>
        <v>413.12700000000012</v>
      </c>
      <c r="AC40" s="157">
        <v>1</v>
      </c>
      <c r="AD40" s="57">
        <f>N40*0.5</f>
        <v>5.0000000000000001E-3</v>
      </c>
      <c r="AE40" s="52">
        <f>AD40*AB40</f>
        <v>2.0656350000000008</v>
      </c>
      <c r="AF40" s="60">
        <v>1.7500000000000002E-2</v>
      </c>
      <c r="AG40" s="71">
        <f>AF40*AE40*1000000</f>
        <v>36148.612500000017</v>
      </c>
    </row>
    <row r="41" spans="2:33" ht="18" customHeight="1" x14ac:dyDescent="0.35">
      <c r="B41" s="42"/>
      <c r="C41" s="63" t="s">
        <v>274</v>
      </c>
      <c r="D41" s="53">
        <f>' TAM &amp; SOM'!F21</f>
        <v>1450.0107142857146</v>
      </c>
      <c r="E41" s="157" t="s">
        <v>227</v>
      </c>
      <c r="F41" s="60">
        <v>0</v>
      </c>
      <c r="G41" s="162"/>
      <c r="H41" s="11">
        <v>3.5000000000000003E-2</v>
      </c>
      <c r="I41" s="306"/>
      <c r="J41" s="42"/>
      <c r="K41" s="63" t="s">
        <v>274</v>
      </c>
      <c r="L41" s="53">
        <f>' TAM &amp; SOM'!G21</f>
        <v>1522.5112500000005</v>
      </c>
      <c r="M41" s="157">
        <v>0.8</v>
      </c>
      <c r="N41" s="60">
        <v>0.02</v>
      </c>
      <c r="O41" s="307">
        <f t="shared" si="1"/>
        <v>30.45022500000001</v>
      </c>
      <c r="P41" s="58">
        <v>0.03</v>
      </c>
      <c r="Q41" s="300">
        <f t="shared" ref="Q41:Q46" si="5">P41*O41*1000000</f>
        <v>913506.75000000023</v>
      </c>
      <c r="R41" s="177"/>
      <c r="S41" s="63" t="s">
        <v>274</v>
      </c>
      <c r="T41" s="53">
        <f t="shared" si="2"/>
        <v>1450.0107142857146</v>
      </c>
      <c r="U41" s="157"/>
      <c r="V41" s="56">
        <v>0</v>
      </c>
      <c r="W41" s="46"/>
      <c r="X41" s="11">
        <v>1.7500000000000002E-2</v>
      </c>
      <c r="Y41" s="12"/>
      <c r="Z41" s="42"/>
      <c r="AA41" s="63" t="s">
        <v>274</v>
      </c>
      <c r="AB41" s="53">
        <f t="shared" si="3"/>
        <v>1522.5112500000005</v>
      </c>
      <c r="AC41" s="157">
        <v>1</v>
      </c>
      <c r="AD41" s="57">
        <f t="shared" si="4"/>
        <v>0.01</v>
      </c>
      <c r="AE41" s="52">
        <f t="shared" ref="AE41:AE46" si="6">AD41*AB41</f>
        <v>15.225112500000005</v>
      </c>
      <c r="AF41" s="60">
        <v>1.7500000000000002E-2</v>
      </c>
      <c r="AG41" s="71">
        <f t="shared" ref="AG41:AG46" si="7">AF41*AE41*1000000</f>
        <v>266439.46875000012</v>
      </c>
    </row>
    <row r="42" spans="2:33" x14ac:dyDescent="0.35">
      <c r="B42" s="35"/>
      <c r="C42" s="64" t="s">
        <v>58</v>
      </c>
      <c r="D42" s="53">
        <f>' TAM &amp; SOM'!F22</f>
        <v>6251.8181818181811</v>
      </c>
      <c r="E42" s="157" t="s">
        <v>227</v>
      </c>
      <c r="F42" s="60">
        <v>0</v>
      </c>
      <c r="G42" s="82"/>
      <c r="H42" s="11">
        <v>3.5000000000000003E-2</v>
      </c>
      <c r="I42" s="306"/>
      <c r="J42" s="35"/>
      <c r="K42" s="64" t="s">
        <v>58</v>
      </c>
      <c r="L42" s="53">
        <f>' TAM &amp; SOM'!G22</f>
        <v>6564.4090909090901</v>
      </c>
      <c r="M42" s="157">
        <v>0.25</v>
      </c>
      <c r="N42" s="332">
        <v>0.01</v>
      </c>
      <c r="O42" s="307">
        <f t="shared" si="1"/>
        <v>65.644090909090906</v>
      </c>
      <c r="P42" s="58">
        <v>0.03</v>
      </c>
      <c r="Q42" s="300">
        <f t="shared" si="5"/>
        <v>1969322.7272727271</v>
      </c>
      <c r="R42" s="176"/>
      <c r="S42" s="64" t="s">
        <v>58</v>
      </c>
      <c r="T42" s="53">
        <f t="shared" si="2"/>
        <v>6251.8181818181811</v>
      </c>
      <c r="U42" s="157"/>
      <c r="V42" s="56">
        <v>0</v>
      </c>
      <c r="W42" s="38"/>
      <c r="X42" s="11">
        <v>1.7500000000000002E-2</v>
      </c>
      <c r="Y42" s="12"/>
      <c r="Z42" s="35"/>
      <c r="AA42" s="167" t="s">
        <v>58</v>
      </c>
      <c r="AB42" s="53">
        <f t="shared" si="3"/>
        <v>6564.4090909090901</v>
      </c>
      <c r="AC42" s="157">
        <v>1</v>
      </c>
      <c r="AD42" s="57">
        <f t="shared" si="4"/>
        <v>5.0000000000000001E-3</v>
      </c>
      <c r="AE42" s="52">
        <f t="shared" si="6"/>
        <v>32.822045454545453</v>
      </c>
      <c r="AF42" s="60">
        <v>1.7500000000000002E-2</v>
      </c>
      <c r="AG42" s="71">
        <f t="shared" si="7"/>
        <v>574385.79545454553</v>
      </c>
    </row>
    <row r="43" spans="2:33" x14ac:dyDescent="0.35">
      <c r="B43" s="36"/>
      <c r="C43" s="64" t="s">
        <v>62</v>
      </c>
      <c r="D43" s="53">
        <f>' TAM &amp; SOM'!F23</f>
        <v>197.32142857142858</v>
      </c>
      <c r="E43" s="157" t="s">
        <v>227</v>
      </c>
      <c r="F43" s="60">
        <v>0</v>
      </c>
      <c r="G43" s="82"/>
      <c r="H43" s="11">
        <v>3.5000000000000003E-2</v>
      </c>
      <c r="I43" s="306"/>
      <c r="J43" s="36"/>
      <c r="K43" s="64" t="s">
        <v>62</v>
      </c>
      <c r="L43" s="53">
        <f>' TAM &amp; SOM'!G23</f>
        <v>207.18750000000003</v>
      </c>
      <c r="M43" s="157">
        <v>0.25</v>
      </c>
      <c r="N43" s="332">
        <v>5.0000000000000001E-3</v>
      </c>
      <c r="O43" s="307">
        <f t="shared" si="1"/>
        <v>1.0359375000000002</v>
      </c>
      <c r="P43" s="58">
        <v>0.04</v>
      </c>
      <c r="Q43" s="300">
        <f t="shared" si="5"/>
        <v>41437.500000000007</v>
      </c>
      <c r="R43" s="179"/>
      <c r="S43" s="64" t="s">
        <v>62</v>
      </c>
      <c r="T43" s="53">
        <f t="shared" si="2"/>
        <v>197.32142857142858</v>
      </c>
      <c r="U43" s="157"/>
      <c r="V43" s="56">
        <v>0</v>
      </c>
      <c r="W43" s="38"/>
      <c r="X43" s="11">
        <v>1.7500000000000002E-2</v>
      </c>
      <c r="Y43" s="12"/>
      <c r="Z43" s="36"/>
      <c r="AA43" s="167" t="s">
        <v>62</v>
      </c>
      <c r="AB43" s="53">
        <f t="shared" si="3"/>
        <v>207.18750000000003</v>
      </c>
      <c r="AC43" s="157">
        <v>1</v>
      </c>
      <c r="AD43" s="57">
        <f t="shared" si="4"/>
        <v>2.5000000000000001E-3</v>
      </c>
      <c r="AE43" s="52">
        <f t="shared" si="6"/>
        <v>0.51796875000000009</v>
      </c>
      <c r="AF43" s="60">
        <v>1.7500000000000002E-2</v>
      </c>
      <c r="AG43" s="71">
        <f t="shared" si="7"/>
        <v>9064.4531250000018</v>
      </c>
    </row>
    <row r="44" spans="2:33" x14ac:dyDescent="0.35">
      <c r="B44" s="35"/>
      <c r="C44" s="64" t="s">
        <v>204</v>
      </c>
      <c r="D44" s="53">
        <f>' TAM &amp; SOM'!F24</f>
        <v>1699.75</v>
      </c>
      <c r="E44" s="157" t="s">
        <v>227</v>
      </c>
      <c r="F44" s="60">
        <v>0</v>
      </c>
      <c r="G44" s="82"/>
      <c r="H44" s="11">
        <v>3.5000000000000003E-2</v>
      </c>
      <c r="I44" s="306"/>
      <c r="J44" s="36"/>
      <c r="K44" s="64" t="s">
        <v>204</v>
      </c>
      <c r="L44" s="53">
        <f>' TAM &amp; SOM'!G24</f>
        <v>1784.7375000000002</v>
      </c>
      <c r="M44" s="157">
        <v>0.25</v>
      </c>
      <c r="N44" s="332">
        <v>0.01</v>
      </c>
      <c r="O44" s="307">
        <f t="shared" si="1"/>
        <v>17.847375000000003</v>
      </c>
      <c r="P44" s="58">
        <v>3.5000000000000003E-2</v>
      </c>
      <c r="Q44" s="300">
        <f t="shared" si="5"/>
        <v>624658.12500000023</v>
      </c>
      <c r="R44" s="176"/>
      <c r="S44" s="64" t="s">
        <v>204</v>
      </c>
      <c r="T44" s="53">
        <f t="shared" si="2"/>
        <v>1699.75</v>
      </c>
      <c r="U44" s="157"/>
      <c r="V44" s="56">
        <v>0</v>
      </c>
      <c r="W44" s="38"/>
      <c r="X44" s="11">
        <v>1.7500000000000002E-2</v>
      </c>
      <c r="Y44" s="12"/>
      <c r="Z44" s="36"/>
      <c r="AA44" s="167" t="s">
        <v>204</v>
      </c>
      <c r="AB44" s="53">
        <f t="shared" si="3"/>
        <v>1784.7375000000002</v>
      </c>
      <c r="AC44" s="157">
        <v>1</v>
      </c>
      <c r="AD44" s="57">
        <f t="shared" si="4"/>
        <v>5.0000000000000001E-3</v>
      </c>
      <c r="AE44" s="52">
        <f t="shared" si="6"/>
        <v>8.9236875000000015</v>
      </c>
      <c r="AF44" s="60">
        <v>1.7500000000000002E-2</v>
      </c>
      <c r="AG44" s="71">
        <f t="shared" si="7"/>
        <v>156164.53125000006</v>
      </c>
    </row>
    <row r="45" spans="2:33" ht="15" customHeight="1" x14ac:dyDescent="0.35">
      <c r="B45" s="36"/>
      <c r="C45" s="64" t="s">
        <v>207</v>
      </c>
      <c r="D45" s="53">
        <f>' TAM &amp; SOM'!F25</f>
        <v>78</v>
      </c>
      <c r="E45" s="157" t="s">
        <v>227</v>
      </c>
      <c r="F45" s="60">
        <v>0</v>
      </c>
      <c r="G45" s="82"/>
      <c r="H45" s="11">
        <v>3.5000000000000003E-2</v>
      </c>
      <c r="I45" s="306"/>
      <c r="J45" s="36"/>
      <c r="K45" s="64" t="s">
        <v>207</v>
      </c>
      <c r="L45" s="53">
        <f>' TAM &amp; SOM'!G25</f>
        <v>81.900000000000006</v>
      </c>
      <c r="M45" s="157">
        <v>0.25</v>
      </c>
      <c r="N45" s="332">
        <v>0.03</v>
      </c>
      <c r="O45" s="307">
        <f t="shared" si="1"/>
        <v>2.4570000000000003</v>
      </c>
      <c r="P45" s="58">
        <v>0.03</v>
      </c>
      <c r="Q45" s="300">
        <f t="shared" si="5"/>
        <v>73710.000000000015</v>
      </c>
      <c r="R45" s="179"/>
      <c r="S45" s="64" t="s">
        <v>207</v>
      </c>
      <c r="T45" s="53">
        <f t="shared" si="2"/>
        <v>78</v>
      </c>
      <c r="U45" s="157"/>
      <c r="V45" s="56">
        <v>0</v>
      </c>
      <c r="W45" s="38"/>
      <c r="X45" s="11">
        <v>1.7500000000000002E-2</v>
      </c>
      <c r="Y45" s="12"/>
      <c r="Z45" s="36"/>
      <c r="AA45" s="167" t="s">
        <v>207</v>
      </c>
      <c r="AB45" s="53">
        <f t="shared" si="3"/>
        <v>81.900000000000006</v>
      </c>
      <c r="AC45" s="157">
        <v>1</v>
      </c>
      <c r="AD45" s="57">
        <f t="shared" si="4"/>
        <v>1.4999999999999999E-2</v>
      </c>
      <c r="AE45" s="52">
        <f t="shared" si="6"/>
        <v>1.2285000000000001</v>
      </c>
      <c r="AF45" s="60">
        <v>1.7500000000000002E-2</v>
      </c>
      <c r="AG45" s="71">
        <f t="shared" si="7"/>
        <v>21498.750000000004</v>
      </c>
    </row>
    <row r="46" spans="2:33" x14ac:dyDescent="0.35">
      <c r="B46" s="36"/>
      <c r="C46" s="64" t="s">
        <v>215</v>
      </c>
      <c r="D46" s="53">
        <f>' TAM &amp; SOM'!F26</f>
        <v>6138.9900000000007</v>
      </c>
      <c r="E46" s="157" t="s">
        <v>227</v>
      </c>
      <c r="F46" s="60">
        <v>0</v>
      </c>
      <c r="G46" s="82"/>
      <c r="H46" s="11">
        <v>3.5000000000000003E-2</v>
      </c>
      <c r="I46" s="306"/>
      <c r="J46" s="36"/>
      <c r="K46" s="64" t="s">
        <v>215</v>
      </c>
      <c r="L46" s="53">
        <f>' TAM &amp; SOM'!G26</f>
        <v>6445.9395000000013</v>
      </c>
      <c r="M46" s="157">
        <v>0.1</v>
      </c>
      <c r="N46" s="332">
        <v>0.01</v>
      </c>
      <c r="O46" s="307">
        <f t="shared" si="1"/>
        <v>64.459395000000015</v>
      </c>
      <c r="P46" s="58">
        <v>0.03</v>
      </c>
      <c r="Q46" s="300">
        <f t="shared" si="5"/>
        <v>1933781.8500000003</v>
      </c>
      <c r="R46" s="179"/>
      <c r="S46" s="64" t="s">
        <v>215</v>
      </c>
      <c r="T46" s="53">
        <f t="shared" si="2"/>
        <v>6138.9900000000007</v>
      </c>
      <c r="U46" s="157"/>
      <c r="V46" s="56">
        <v>0</v>
      </c>
      <c r="W46" s="38"/>
      <c r="X46" s="11">
        <v>1.7500000000000002E-2</v>
      </c>
      <c r="Y46" s="12"/>
      <c r="Z46" s="36"/>
      <c r="AA46" s="167" t="s">
        <v>215</v>
      </c>
      <c r="AB46" s="53">
        <f t="shared" si="3"/>
        <v>6445.9395000000013</v>
      </c>
      <c r="AC46" s="157">
        <v>1</v>
      </c>
      <c r="AD46" s="57">
        <f t="shared" si="4"/>
        <v>5.0000000000000001E-3</v>
      </c>
      <c r="AE46" s="52">
        <f t="shared" si="6"/>
        <v>32.229697500000007</v>
      </c>
      <c r="AF46" s="60">
        <v>1.7500000000000002E-2</v>
      </c>
      <c r="AG46" s="71">
        <f t="shared" si="7"/>
        <v>564019.70625000016</v>
      </c>
    </row>
    <row r="47" spans="2:33" ht="15.75" customHeight="1" x14ac:dyDescent="0.35">
      <c r="B47" s="36"/>
      <c r="C47" s="64" t="s">
        <v>257</v>
      </c>
      <c r="D47" s="53">
        <f>SUM(D39:D46)</f>
        <v>16366.440324675325</v>
      </c>
      <c r="E47" s="157"/>
      <c r="F47" s="60"/>
      <c r="G47" s="82"/>
      <c r="H47" s="100"/>
      <c r="I47" s="306"/>
      <c r="J47" s="36"/>
      <c r="K47" s="64" t="s">
        <v>257</v>
      </c>
      <c r="L47" s="53">
        <f>SUM(L39:L46)</f>
        <v>17204.639340909092</v>
      </c>
      <c r="M47" s="157"/>
      <c r="N47" s="332"/>
      <c r="O47" s="83"/>
      <c r="P47" s="83">
        <f>SUM(O39:O46)</f>
        <v>196.07528872159094</v>
      </c>
      <c r="Q47" s="301"/>
      <c r="R47" s="179"/>
      <c r="S47" s="64"/>
      <c r="T47" s="53"/>
      <c r="U47" s="157"/>
      <c r="V47" s="56"/>
      <c r="W47" s="38"/>
      <c r="X47" s="11"/>
      <c r="Y47" s="12"/>
      <c r="Z47" s="36"/>
      <c r="AA47" s="167"/>
      <c r="AB47" s="53"/>
      <c r="AC47" s="157"/>
      <c r="AD47" s="57"/>
      <c r="AE47" s="52"/>
      <c r="AF47" s="60"/>
      <c r="AG47" s="71"/>
    </row>
    <row r="48" spans="2:33" ht="15" thickBot="1" x14ac:dyDescent="0.4">
      <c r="B48" s="35"/>
      <c r="C48" s="65" t="s">
        <v>116</v>
      </c>
      <c r="D48" s="66"/>
      <c r="E48" s="164">
        <f>SUM(E41:E47)/8</f>
        <v>0</v>
      </c>
      <c r="F48" s="186"/>
      <c r="G48" s="90"/>
      <c r="H48" s="28"/>
      <c r="I48" s="302">
        <f>SUM(I39:I45)</f>
        <v>6300937.5000000009</v>
      </c>
      <c r="J48" s="36"/>
      <c r="K48" s="65" t="s">
        <v>116</v>
      </c>
      <c r="L48" s="66"/>
      <c r="M48" s="164">
        <f>SUM(M41:M47)/8</f>
        <v>0.23750000000000002</v>
      </c>
      <c r="N48" s="186"/>
      <c r="O48" s="90"/>
      <c r="P48" s="28"/>
      <c r="Q48" s="302">
        <f>SUM(Q39:Q47)</f>
        <v>14426769.514772728</v>
      </c>
      <c r="R48" s="176"/>
      <c r="S48" s="65" t="s">
        <v>116</v>
      </c>
      <c r="T48" s="66"/>
      <c r="U48" s="88"/>
      <c r="V48" s="67"/>
      <c r="W48" s="66"/>
      <c r="X48" s="28"/>
      <c r="Y48" s="70">
        <f>SUM(Y39:Y45)</f>
        <v>0</v>
      </c>
      <c r="Z48" s="36"/>
      <c r="AA48" s="168" t="s">
        <v>116</v>
      </c>
      <c r="AB48" s="66"/>
      <c r="AC48" s="88"/>
      <c r="AD48" s="67"/>
      <c r="AE48" s="66"/>
      <c r="AF48" s="28"/>
      <c r="AG48" s="70">
        <f>SUM(AG39:AG46)</f>
        <v>1715658.776313921</v>
      </c>
    </row>
    <row r="49" spans="2:33" ht="15" thickBot="1" x14ac:dyDescent="0.4">
      <c r="B49" s="36"/>
      <c r="C49" s="29"/>
      <c r="D49" s="38"/>
      <c r="E49" s="30"/>
      <c r="F49" s="11"/>
      <c r="G49" s="82"/>
      <c r="H49" s="37"/>
      <c r="I49" s="252"/>
      <c r="J49" s="36"/>
      <c r="K49" s="29"/>
      <c r="L49" s="11"/>
      <c r="M49" s="30"/>
      <c r="O49" s="82"/>
      <c r="P49" s="38"/>
      <c r="Q49" s="298"/>
      <c r="R49" s="179"/>
      <c r="S49" s="29"/>
      <c r="T49" s="38"/>
      <c r="V49" s="50"/>
      <c r="W49" s="38"/>
      <c r="X49" s="37"/>
      <c r="Z49" s="36"/>
      <c r="AA49" s="169"/>
      <c r="AB49" s="11"/>
      <c r="AD49" s="37"/>
      <c r="AE49" s="11"/>
      <c r="AF49" s="38"/>
    </row>
    <row r="50" spans="2:33" x14ac:dyDescent="0.35">
      <c r="B50" s="36"/>
      <c r="C50" s="376" t="s">
        <v>217</v>
      </c>
      <c r="D50" s="377"/>
      <c r="E50" s="377"/>
      <c r="F50" s="377"/>
      <c r="G50" s="377"/>
      <c r="H50" s="377"/>
      <c r="I50" s="378"/>
      <c r="J50" s="36"/>
      <c r="K50" s="376" t="s">
        <v>222</v>
      </c>
      <c r="L50" s="377"/>
      <c r="M50" s="377"/>
      <c r="N50" s="377"/>
      <c r="O50" s="377"/>
      <c r="P50" s="377"/>
      <c r="Q50" s="378"/>
      <c r="R50" s="179"/>
      <c r="S50" s="376" t="s">
        <v>81</v>
      </c>
      <c r="T50" s="377"/>
      <c r="U50" s="377"/>
      <c r="V50" s="377"/>
      <c r="W50" s="377"/>
      <c r="X50" s="377"/>
      <c r="Y50" s="378"/>
      <c r="Z50" s="36"/>
      <c r="AA50" s="376" t="s">
        <v>84</v>
      </c>
      <c r="AB50" s="377"/>
      <c r="AC50" s="377"/>
      <c r="AD50" s="377"/>
      <c r="AE50" s="377"/>
      <c r="AF50" s="377"/>
      <c r="AG50" s="378"/>
    </row>
    <row r="51" spans="2:33" x14ac:dyDescent="0.35">
      <c r="B51" s="36"/>
      <c r="C51" s="62"/>
      <c r="D51" s="45" t="s">
        <v>284</v>
      </c>
      <c r="E51" s="32" t="s">
        <v>226</v>
      </c>
      <c r="F51" s="329" t="s">
        <v>145</v>
      </c>
      <c r="G51" s="159" t="s">
        <v>218</v>
      </c>
      <c r="H51" s="32" t="s">
        <v>144</v>
      </c>
      <c r="I51" s="257" t="s">
        <v>110</v>
      </c>
      <c r="K51" s="62"/>
      <c r="L51" s="45" t="s">
        <v>284</v>
      </c>
      <c r="M51" s="32" t="s">
        <v>226</v>
      </c>
      <c r="N51" s="329" t="s">
        <v>145</v>
      </c>
      <c r="O51" s="159" t="s">
        <v>83</v>
      </c>
      <c r="P51" s="32" t="s">
        <v>143</v>
      </c>
      <c r="Q51" s="299" t="s">
        <v>110</v>
      </c>
      <c r="R51" s="179"/>
      <c r="S51" s="62"/>
      <c r="T51" s="45" t="s">
        <v>284</v>
      </c>
      <c r="U51" s="32" t="s">
        <v>226</v>
      </c>
      <c r="V51" s="49" t="s">
        <v>145</v>
      </c>
      <c r="W51" s="51" t="s">
        <v>83</v>
      </c>
      <c r="X51" s="32" t="s">
        <v>144</v>
      </c>
      <c r="Y51" s="68" t="s">
        <v>110</v>
      </c>
      <c r="AA51" s="166"/>
      <c r="AB51" s="45" t="s">
        <v>284</v>
      </c>
      <c r="AC51" s="32" t="s">
        <v>226</v>
      </c>
      <c r="AD51" s="49" t="s">
        <v>145</v>
      </c>
      <c r="AE51" s="51" t="s">
        <v>83</v>
      </c>
      <c r="AF51" s="32" t="s">
        <v>143</v>
      </c>
      <c r="AG51" s="68" t="s">
        <v>110</v>
      </c>
    </row>
    <row r="52" spans="2:33" ht="20.25" customHeight="1" x14ac:dyDescent="0.35">
      <c r="B52" s="36"/>
      <c r="C52" s="63" t="s">
        <v>273</v>
      </c>
      <c r="D52" s="53">
        <f>' TAM &amp; SOM'!H19</f>
        <v>203.31025000000002</v>
      </c>
      <c r="E52" s="157">
        <f>M39*1.2</f>
        <v>0.12000000000000005</v>
      </c>
      <c r="F52" s="58">
        <f>(1+E52)*N39</f>
        <v>6.0900000000000017E-2</v>
      </c>
      <c r="G52" s="307">
        <f t="shared" ref="G52:G59" si="8">F52*D52</f>
        <v>12.381594225000004</v>
      </c>
      <c r="H52" s="58">
        <f>P39*1.25</f>
        <v>5.8593750000000007E-2</v>
      </c>
      <c r="I52" s="300">
        <f>H52*G52*1000000</f>
        <v>725484.0366210941</v>
      </c>
      <c r="J52" s="42"/>
      <c r="K52" s="63" t="s">
        <v>273</v>
      </c>
      <c r="L52" s="53">
        <f>' TAM &amp; SOM'!I19</f>
        <v>223.64127500000004</v>
      </c>
      <c r="M52" s="157">
        <f>E52*1.2</f>
        <v>0.14400000000000004</v>
      </c>
      <c r="N52" s="58">
        <f>F52*(1+M52)</f>
        <v>6.9669600000000026E-2</v>
      </c>
      <c r="O52" s="307">
        <f t="shared" ref="O52:O59" si="9">N52*L52</f>
        <v>15.580998172740008</v>
      </c>
      <c r="P52" s="58">
        <f>H52*1.25</f>
        <v>7.3242187500000014E-2</v>
      </c>
      <c r="Q52" s="300">
        <f>P52*O52*1000000</f>
        <v>1141186.3896049813</v>
      </c>
      <c r="R52" s="179"/>
      <c r="S52" s="63" t="s">
        <v>273</v>
      </c>
      <c r="T52" s="53">
        <f t="shared" ref="T52:T59" si="10">D52</f>
        <v>203.31025000000002</v>
      </c>
      <c r="U52" s="157">
        <f t="shared" ref="U52:U59" si="11">(W52-AE39)/AE39</f>
        <v>0.23200000000000018</v>
      </c>
      <c r="V52" s="57">
        <f t="shared" ref="V52:V60" si="12">F52/2</f>
        <v>3.0450000000000008E-2</v>
      </c>
      <c r="W52" s="52">
        <f>V52*T52</f>
        <v>6.1907971125000021</v>
      </c>
      <c r="X52" s="58">
        <v>1.7500000000000002E-2</v>
      </c>
      <c r="Y52" s="71">
        <f>X52*W52*1000000</f>
        <v>108338.94946875004</v>
      </c>
      <c r="Z52" s="42"/>
      <c r="AA52" s="63" t="s">
        <v>273</v>
      </c>
      <c r="AB52" s="53">
        <f t="shared" ref="AB52:AB59" si="13">L52</f>
        <v>223.64127500000004</v>
      </c>
      <c r="AC52" s="157">
        <f>(AE52-W52)/W52</f>
        <v>0.65000000000000036</v>
      </c>
      <c r="AD52" s="57">
        <f>V52*1.5</f>
        <v>4.5675000000000014E-2</v>
      </c>
      <c r="AE52" s="52">
        <f>AD52*AB52</f>
        <v>10.214815235625005</v>
      </c>
      <c r="AF52" s="58">
        <v>1.7500000000000002E-2</v>
      </c>
      <c r="AG52" s="71">
        <f>AF52*AE52*1000000</f>
        <v>178759.26662343761</v>
      </c>
    </row>
    <row r="53" spans="2:33" x14ac:dyDescent="0.35">
      <c r="B53" s="36"/>
      <c r="C53" s="64" t="s">
        <v>35</v>
      </c>
      <c r="D53" s="53">
        <f>' TAM &amp; SOM'!H20</f>
        <v>446.17716000000019</v>
      </c>
      <c r="E53" s="157">
        <v>1</v>
      </c>
      <c r="F53" s="58">
        <f t="shared" ref="F53:F59" si="14">(1+E53)*N40</f>
        <v>0.02</v>
      </c>
      <c r="G53" s="307">
        <f>F53*D53</f>
        <v>8.9235432000000046</v>
      </c>
      <c r="H53" s="58">
        <f t="shared" ref="H53:H59" si="15">P40*1.25</f>
        <v>6.25E-2</v>
      </c>
      <c r="I53" s="300">
        <f>H53*G53*1000000</f>
        <v>557721.4500000003</v>
      </c>
      <c r="J53" s="36"/>
      <c r="K53" s="64" t="s">
        <v>35</v>
      </c>
      <c r="L53" s="53">
        <f>' TAM &amp; SOM'!I20</f>
        <v>481.87133280000023</v>
      </c>
      <c r="M53" s="157">
        <f>E53*2</f>
        <v>2</v>
      </c>
      <c r="N53" s="58">
        <f>F53*(1+M53)</f>
        <v>0.06</v>
      </c>
      <c r="O53" s="307">
        <f>N53*L53</f>
        <v>28.912279968000014</v>
      </c>
      <c r="P53" s="58">
        <v>0.05</v>
      </c>
      <c r="Q53" s="300">
        <f>P53*O53*1000000</f>
        <v>1445613.9984000006</v>
      </c>
      <c r="R53" s="179"/>
      <c r="S53" s="64" t="s">
        <v>35</v>
      </c>
      <c r="T53" s="53">
        <f t="shared" si="10"/>
        <v>446.17716000000019</v>
      </c>
      <c r="U53" s="157">
        <f t="shared" si="11"/>
        <v>1.1600000000000004</v>
      </c>
      <c r="V53" s="57">
        <f>F53/2</f>
        <v>0.01</v>
      </c>
      <c r="W53" s="52">
        <f>V53*T53</f>
        <v>4.4617716000000023</v>
      </c>
      <c r="X53" s="60">
        <v>1.7500000000000002E-2</v>
      </c>
      <c r="Y53" s="71">
        <f>X53*W53*1000000</f>
        <v>78081.003000000055</v>
      </c>
      <c r="Z53" s="36"/>
      <c r="AA53" s="167" t="s">
        <v>35</v>
      </c>
      <c r="AB53" s="53">
        <f>L53</f>
        <v>481.87133280000023</v>
      </c>
      <c r="AC53" s="157">
        <f>(AE53-W53)/W53</f>
        <v>0.62</v>
      </c>
      <c r="AD53" s="57">
        <f>V53*1.5</f>
        <v>1.4999999999999999E-2</v>
      </c>
      <c r="AE53" s="52">
        <f>AD53*AB53</f>
        <v>7.2280699920000036</v>
      </c>
      <c r="AF53" s="60">
        <v>1.7500000000000002E-2</v>
      </c>
      <c r="AG53" s="71">
        <f>AF53*AE53*1000000</f>
        <v>126491.22486000009</v>
      </c>
    </row>
    <row r="54" spans="2:33" ht="16.5" customHeight="1" x14ac:dyDescent="0.35">
      <c r="B54" s="36"/>
      <c r="C54" s="63" t="s">
        <v>274</v>
      </c>
      <c r="D54" s="53">
        <f>' TAM &amp; SOM'!H21</f>
        <v>1598.6368125000006</v>
      </c>
      <c r="E54" s="157">
        <f t="shared" ref="E54:E58" si="16">M41*1.2</f>
        <v>0.96</v>
      </c>
      <c r="F54" s="58">
        <f t="shared" si="14"/>
        <v>3.9199999999999999E-2</v>
      </c>
      <c r="G54" s="307">
        <f t="shared" si="8"/>
        <v>62.666563050000022</v>
      </c>
      <c r="H54" s="58">
        <f t="shared" si="15"/>
        <v>3.7499999999999999E-2</v>
      </c>
      <c r="I54" s="300">
        <f t="shared" ref="I54:I59" si="17">H54*G54*1000000</f>
        <v>2349996.1143750004</v>
      </c>
      <c r="J54" s="35"/>
      <c r="K54" s="63" t="s">
        <v>274</v>
      </c>
      <c r="L54" s="53">
        <f>' TAM &amp; SOM'!I21</f>
        <v>1678.5686531250008</v>
      </c>
      <c r="M54" s="157">
        <f t="shared" ref="M54" si="18">E54*1.2</f>
        <v>1.1519999999999999</v>
      </c>
      <c r="N54" s="58">
        <f t="shared" ref="N54:N59" si="19">F54*(1+M54)</f>
        <v>8.43584E-2</v>
      </c>
      <c r="O54" s="307">
        <f t="shared" si="9"/>
        <v>141.60136586778006</v>
      </c>
      <c r="P54" s="58">
        <f t="shared" ref="P54:P59" si="20">H54*1.25</f>
        <v>4.6875E-2</v>
      </c>
      <c r="Q54" s="300">
        <f t="shared" ref="Q54:Q59" si="21">P54*O54*1000000</f>
        <v>6637564.0250521908</v>
      </c>
      <c r="R54" s="179"/>
      <c r="S54" s="63" t="s">
        <v>274</v>
      </c>
      <c r="T54" s="53">
        <f t="shared" si="10"/>
        <v>1598.6368125000006</v>
      </c>
      <c r="U54" s="157">
        <f t="shared" si="11"/>
        <v>1.0580000000000001</v>
      </c>
      <c r="V54" s="57">
        <f t="shared" si="12"/>
        <v>1.9599999999999999E-2</v>
      </c>
      <c r="W54" s="52">
        <f t="shared" ref="W54:W59" si="22">V54*T54</f>
        <v>31.333281525000011</v>
      </c>
      <c r="X54" s="60">
        <v>1.7500000000000002E-2</v>
      </c>
      <c r="Y54" s="71">
        <f t="shared" ref="Y54:Y58" si="23">X54*W54*1000000</f>
        <v>548332.42668750021</v>
      </c>
      <c r="Z54" s="35"/>
      <c r="AA54" s="63" t="s">
        <v>274</v>
      </c>
      <c r="AB54" s="53">
        <f t="shared" si="13"/>
        <v>1678.5686531250008</v>
      </c>
      <c r="AC54" s="157">
        <f t="shared" ref="AC54:AC59" si="24">(AE54-W54)/W54</f>
        <v>0.57500000000000018</v>
      </c>
      <c r="AD54" s="57">
        <f t="shared" ref="AD54:AD60" si="25">V54*1.5</f>
        <v>2.9399999999999999E-2</v>
      </c>
      <c r="AE54" s="52">
        <f t="shared" ref="AE54:AE59" si="26">AD54*AB54</f>
        <v>49.349918401875023</v>
      </c>
      <c r="AF54" s="60">
        <v>1.7500000000000002E-2</v>
      </c>
      <c r="AG54" s="71">
        <f t="shared" ref="AG54:AG59" si="27">AF54*AE54*1000000</f>
        <v>863623.57203281298</v>
      </c>
    </row>
    <row r="55" spans="2:33" x14ac:dyDescent="0.35">
      <c r="B55" s="36"/>
      <c r="C55" s="64" t="s">
        <v>58</v>
      </c>
      <c r="D55" s="53">
        <f>' TAM &amp; SOM'!H22</f>
        <v>6892.6295454545452</v>
      </c>
      <c r="E55" s="157">
        <f t="shared" si="16"/>
        <v>0.3</v>
      </c>
      <c r="F55" s="58">
        <f t="shared" si="14"/>
        <v>1.3000000000000001E-2</v>
      </c>
      <c r="G55" s="307">
        <f t="shared" si="8"/>
        <v>89.604184090909101</v>
      </c>
      <c r="H55" s="58">
        <f t="shared" si="15"/>
        <v>3.7499999999999999E-2</v>
      </c>
      <c r="I55" s="300">
        <f t="shared" si="17"/>
        <v>3360156.9034090908</v>
      </c>
      <c r="J55" s="36"/>
      <c r="K55" s="64" t="s">
        <v>58</v>
      </c>
      <c r="L55" s="53">
        <f>' TAM &amp; SOM'!I22</f>
        <v>7237.2610227272726</v>
      </c>
      <c r="M55" s="157">
        <v>0.8</v>
      </c>
      <c r="N55" s="58">
        <f t="shared" si="19"/>
        <v>2.3400000000000004E-2</v>
      </c>
      <c r="O55" s="307">
        <f t="shared" si="9"/>
        <v>169.3519079318182</v>
      </c>
      <c r="P55" s="58">
        <f t="shared" si="20"/>
        <v>4.6875E-2</v>
      </c>
      <c r="Q55" s="300">
        <f t="shared" si="21"/>
        <v>7938370.6843039775</v>
      </c>
      <c r="R55" s="179"/>
      <c r="S55" s="64" t="s">
        <v>58</v>
      </c>
      <c r="T55" s="53">
        <f t="shared" si="10"/>
        <v>6892.6295454545452</v>
      </c>
      <c r="U55" s="157">
        <f t="shared" si="11"/>
        <v>0.36500000000000021</v>
      </c>
      <c r="V55" s="57">
        <f t="shared" si="12"/>
        <v>6.5000000000000006E-3</v>
      </c>
      <c r="W55" s="52">
        <f t="shared" si="22"/>
        <v>44.80209204545455</v>
      </c>
      <c r="X55" s="60">
        <v>1.7500000000000002E-2</v>
      </c>
      <c r="Y55" s="71">
        <f t="shared" si="23"/>
        <v>784036.6107954547</v>
      </c>
      <c r="Z55" s="36"/>
      <c r="AA55" s="167" t="s">
        <v>58</v>
      </c>
      <c r="AB55" s="53">
        <f t="shared" si="13"/>
        <v>7237.2610227272726</v>
      </c>
      <c r="AC55" s="157">
        <f t="shared" si="24"/>
        <v>0.57500000000000007</v>
      </c>
      <c r="AD55" s="57">
        <f t="shared" si="25"/>
        <v>9.7500000000000017E-3</v>
      </c>
      <c r="AE55" s="52">
        <f t="shared" si="26"/>
        <v>70.563294971590921</v>
      </c>
      <c r="AF55" s="60">
        <v>1.7500000000000002E-2</v>
      </c>
      <c r="AG55" s="71">
        <f t="shared" si="27"/>
        <v>1234857.6620028412</v>
      </c>
    </row>
    <row r="56" spans="2:33" x14ac:dyDescent="0.35">
      <c r="B56" s="35"/>
      <c r="C56" s="64" t="s">
        <v>62</v>
      </c>
      <c r="D56" s="53">
        <f>' TAM &amp; SOM'!H23</f>
        <v>217.54687500000003</v>
      </c>
      <c r="E56" s="157">
        <f t="shared" si="16"/>
        <v>0.3</v>
      </c>
      <c r="F56" s="58">
        <f t="shared" si="14"/>
        <v>6.5000000000000006E-3</v>
      </c>
      <c r="G56" s="307">
        <f t="shared" si="8"/>
        <v>1.4140546875000004</v>
      </c>
      <c r="H56" s="58">
        <f t="shared" si="15"/>
        <v>0.05</v>
      </c>
      <c r="I56" s="300">
        <f t="shared" si="17"/>
        <v>70702.734375000015</v>
      </c>
      <c r="J56" s="36"/>
      <c r="K56" s="64" t="s">
        <v>62</v>
      </c>
      <c r="L56" s="53">
        <f>' TAM &amp; SOM'!I23</f>
        <v>228.42421875000005</v>
      </c>
      <c r="M56" s="157">
        <v>0.7</v>
      </c>
      <c r="N56" s="58">
        <f t="shared" si="19"/>
        <v>1.1050000000000001E-2</v>
      </c>
      <c r="O56" s="307">
        <f t="shared" si="9"/>
        <v>2.5240876171875009</v>
      </c>
      <c r="P56" s="58">
        <f t="shared" si="20"/>
        <v>6.25E-2</v>
      </c>
      <c r="Q56" s="300">
        <f t="shared" si="21"/>
        <v>157755.47607421881</v>
      </c>
      <c r="R56" s="176"/>
      <c r="S56" s="64" t="s">
        <v>62</v>
      </c>
      <c r="T56" s="53">
        <f t="shared" si="10"/>
        <v>217.54687500000003</v>
      </c>
      <c r="U56" s="157">
        <f t="shared" si="11"/>
        <v>0.36500000000000016</v>
      </c>
      <c r="V56" s="57">
        <f t="shared" si="12"/>
        <v>3.2500000000000003E-3</v>
      </c>
      <c r="W56" s="52">
        <f t="shared" si="22"/>
        <v>0.7070273437500002</v>
      </c>
      <c r="X56" s="60">
        <v>1.7500000000000002E-2</v>
      </c>
      <c r="Y56" s="71">
        <f t="shared" si="23"/>
        <v>12372.978515625004</v>
      </c>
      <c r="Z56" s="36"/>
      <c r="AA56" s="167" t="s">
        <v>62</v>
      </c>
      <c r="AB56" s="53">
        <f t="shared" si="13"/>
        <v>228.42421875000005</v>
      </c>
      <c r="AC56" s="157">
        <f t="shared" si="24"/>
        <v>0.57500000000000007</v>
      </c>
      <c r="AD56" s="57">
        <f t="shared" si="25"/>
        <v>4.8750000000000009E-3</v>
      </c>
      <c r="AE56" s="52">
        <f t="shared" si="26"/>
        <v>1.1135680664062504</v>
      </c>
      <c r="AF56" s="60">
        <v>1.7500000000000002E-2</v>
      </c>
      <c r="AG56" s="71">
        <f t="shared" si="27"/>
        <v>19487.441162109382</v>
      </c>
    </row>
    <row r="57" spans="2:33" ht="15.75" customHeight="1" x14ac:dyDescent="0.35">
      <c r="B57" s="36"/>
      <c r="C57" s="64" t="s">
        <v>204</v>
      </c>
      <c r="D57" s="53">
        <f>' TAM &amp; SOM'!H24</f>
        <v>1873.9743750000002</v>
      </c>
      <c r="E57" s="157">
        <f>M44*2</f>
        <v>0.5</v>
      </c>
      <c r="F57" s="58">
        <f t="shared" si="14"/>
        <v>1.4999999999999999E-2</v>
      </c>
      <c r="G57" s="307">
        <f t="shared" si="8"/>
        <v>28.109615625000004</v>
      </c>
      <c r="H57" s="58">
        <f t="shared" si="15"/>
        <v>4.3750000000000004E-2</v>
      </c>
      <c r="I57" s="300">
        <f t="shared" si="17"/>
        <v>1229795.6835937502</v>
      </c>
      <c r="J57" s="36"/>
      <c r="K57" s="64" t="s">
        <v>204</v>
      </c>
      <c r="L57" s="53">
        <f>' TAM &amp; SOM'!I24</f>
        <v>1967.6730937500004</v>
      </c>
      <c r="M57" s="157">
        <f>E57*2</f>
        <v>1</v>
      </c>
      <c r="N57" s="58">
        <f t="shared" si="19"/>
        <v>0.03</v>
      </c>
      <c r="O57" s="307">
        <f t="shared" si="9"/>
        <v>59.030192812500012</v>
      </c>
      <c r="P57" s="58">
        <f t="shared" si="20"/>
        <v>5.4687500000000007E-2</v>
      </c>
      <c r="Q57" s="300">
        <f t="shared" si="21"/>
        <v>3228213.6694335951</v>
      </c>
      <c r="R57" s="179"/>
      <c r="S57" s="64" t="s">
        <v>204</v>
      </c>
      <c r="T57" s="53">
        <f t="shared" si="10"/>
        <v>1873.9743750000002</v>
      </c>
      <c r="U57" s="157">
        <f t="shared" si="11"/>
        <v>0.57499999999999996</v>
      </c>
      <c r="V57" s="57">
        <f t="shared" si="12"/>
        <v>7.4999999999999997E-3</v>
      </c>
      <c r="W57" s="52">
        <f t="shared" si="22"/>
        <v>14.054807812500002</v>
      </c>
      <c r="X57" s="60">
        <v>1.7500000000000002E-2</v>
      </c>
      <c r="Y57" s="71">
        <f t="shared" si="23"/>
        <v>245959.13671875006</v>
      </c>
      <c r="Z57" s="36"/>
      <c r="AA57" s="167" t="s">
        <v>204</v>
      </c>
      <c r="AB57" s="53">
        <f t="shared" si="13"/>
        <v>1967.6730937500004</v>
      </c>
      <c r="AC57" s="157">
        <f t="shared" si="24"/>
        <v>0.57500000000000007</v>
      </c>
      <c r="AD57" s="57">
        <f t="shared" si="25"/>
        <v>1.125E-2</v>
      </c>
      <c r="AE57" s="52">
        <f t="shared" si="26"/>
        <v>22.136322304687504</v>
      </c>
      <c r="AF57" s="60">
        <v>1.7500000000000002E-2</v>
      </c>
      <c r="AG57" s="71">
        <f t="shared" si="27"/>
        <v>387385.6403320313</v>
      </c>
    </row>
    <row r="58" spans="2:33" x14ac:dyDescent="0.35">
      <c r="B58" s="36"/>
      <c r="C58" s="64" t="s">
        <v>207</v>
      </c>
      <c r="D58" s="53">
        <f>' TAM &amp; SOM'!H25</f>
        <v>85.995000000000005</v>
      </c>
      <c r="E58" s="157">
        <f t="shared" si="16"/>
        <v>0.3</v>
      </c>
      <c r="F58" s="58">
        <f t="shared" si="14"/>
        <v>3.9E-2</v>
      </c>
      <c r="G58" s="307">
        <f t="shared" si="8"/>
        <v>3.3538050000000004</v>
      </c>
      <c r="H58" s="58">
        <f t="shared" si="15"/>
        <v>3.7499999999999999E-2</v>
      </c>
      <c r="I58" s="300">
        <f t="shared" si="17"/>
        <v>125767.6875</v>
      </c>
      <c r="J58" s="36"/>
      <c r="K58" s="64" t="s">
        <v>207</v>
      </c>
      <c r="L58" s="53">
        <f>' TAM &amp; SOM'!I25</f>
        <v>90.294750000000008</v>
      </c>
      <c r="M58" s="157">
        <f>E58*2</f>
        <v>0.6</v>
      </c>
      <c r="N58" s="58">
        <f t="shared" si="19"/>
        <v>6.2400000000000004E-2</v>
      </c>
      <c r="O58" s="307">
        <f t="shared" si="9"/>
        <v>5.6343924000000012</v>
      </c>
      <c r="P58" s="58">
        <f t="shared" si="20"/>
        <v>4.6875E-2</v>
      </c>
      <c r="Q58" s="300">
        <f t="shared" si="21"/>
        <v>264112.14375000005</v>
      </c>
      <c r="R58" s="179"/>
      <c r="S58" s="64" t="s">
        <v>207</v>
      </c>
      <c r="T58" s="53">
        <f t="shared" si="10"/>
        <v>85.995000000000005</v>
      </c>
      <c r="U58" s="157">
        <f t="shared" si="11"/>
        <v>0.36499999999999999</v>
      </c>
      <c r="V58" s="57">
        <f t="shared" si="12"/>
        <v>1.95E-2</v>
      </c>
      <c r="W58" s="52">
        <f t="shared" si="22"/>
        <v>1.6769025000000002</v>
      </c>
      <c r="X58" s="60">
        <v>1.7500000000000002E-2</v>
      </c>
      <c r="Y58" s="71">
        <f t="shared" si="23"/>
        <v>29345.793750000004</v>
      </c>
      <c r="Z58" s="36"/>
      <c r="AA58" s="167" t="s">
        <v>207</v>
      </c>
      <c r="AB58" s="53">
        <f t="shared" si="13"/>
        <v>90.294750000000008</v>
      </c>
      <c r="AC58" s="157">
        <f t="shared" si="24"/>
        <v>0.57499999999999996</v>
      </c>
      <c r="AD58" s="57">
        <f t="shared" si="25"/>
        <v>2.9249999999999998E-2</v>
      </c>
      <c r="AE58" s="52">
        <f t="shared" si="26"/>
        <v>2.6411214375000003</v>
      </c>
      <c r="AF58" s="60">
        <v>1.7500000000000002E-2</v>
      </c>
      <c r="AG58" s="71">
        <f t="shared" si="27"/>
        <v>46219.625156250004</v>
      </c>
    </row>
    <row r="59" spans="2:33" ht="15.75" customHeight="1" x14ac:dyDescent="0.35">
      <c r="B59" s="36"/>
      <c r="C59" s="64" t="s">
        <v>215</v>
      </c>
      <c r="D59" s="53">
        <f>' TAM &amp; SOM'!H26</f>
        <v>6768.2364750000015</v>
      </c>
      <c r="E59" s="157">
        <f>M46*2</f>
        <v>0.2</v>
      </c>
      <c r="F59" s="58">
        <f t="shared" si="14"/>
        <v>1.2E-2</v>
      </c>
      <c r="G59" s="307">
        <f t="shared" si="8"/>
        <v>81.218837700000023</v>
      </c>
      <c r="H59" s="58">
        <f t="shared" si="15"/>
        <v>3.7499999999999999E-2</v>
      </c>
      <c r="I59" s="300">
        <f t="shared" si="17"/>
        <v>3045706.4137500008</v>
      </c>
      <c r="K59" s="64" t="s">
        <v>215</v>
      </c>
      <c r="L59" s="53">
        <f>' TAM &amp; SOM'!I26</f>
        <v>7106.6482987500021</v>
      </c>
      <c r="M59" s="157">
        <f>E59*2</f>
        <v>0.4</v>
      </c>
      <c r="N59" s="58">
        <f t="shared" si="19"/>
        <v>1.6799999999999999E-2</v>
      </c>
      <c r="O59" s="307">
        <f t="shared" si="9"/>
        <v>119.39169141900003</v>
      </c>
      <c r="P59" s="58">
        <f t="shared" si="20"/>
        <v>4.6875E-2</v>
      </c>
      <c r="Q59" s="300">
        <f t="shared" si="21"/>
        <v>5596485.5352656264</v>
      </c>
      <c r="R59" s="179"/>
      <c r="S59" s="64" t="s">
        <v>215</v>
      </c>
      <c r="T59" s="53">
        <f t="shared" si="10"/>
        <v>6768.2364750000015</v>
      </c>
      <c r="U59" s="157">
        <f t="shared" si="11"/>
        <v>0.26000000000000006</v>
      </c>
      <c r="V59" s="57">
        <f t="shared" si="12"/>
        <v>6.0000000000000001E-3</v>
      </c>
      <c r="W59" s="52">
        <f t="shared" si="22"/>
        <v>40.609418850000012</v>
      </c>
      <c r="X59" s="60"/>
      <c r="Y59" s="71"/>
      <c r="AA59" s="167" t="s">
        <v>215</v>
      </c>
      <c r="AB59" s="53">
        <f t="shared" si="13"/>
        <v>7106.6482987500021</v>
      </c>
      <c r="AC59" s="157">
        <f t="shared" si="24"/>
        <v>0.57500000000000029</v>
      </c>
      <c r="AD59" s="57">
        <f t="shared" si="25"/>
        <v>9.0000000000000011E-3</v>
      </c>
      <c r="AE59" s="52">
        <f t="shared" si="26"/>
        <v>63.959834688750028</v>
      </c>
      <c r="AF59" s="60">
        <v>1.7500000000000002E-2</v>
      </c>
      <c r="AG59" s="71">
        <f t="shared" si="27"/>
        <v>1119297.1070531257</v>
      </c>
    </row>
    <row r="60" spans="2:33" ht="15.75" customHeight="1" x14ac:dyDescent="0.35">
      <c r="B60" s="36"/>
      <c r="C60" s="64" t="s">
        <v>257</v>
      </c>
      <c r="D60" s="53">
        <f>SUM(D52:D59)</f>
        <v>18086.506492954548</v>
      </c>
      <c r="E60" s="157"/>
      <c r="F60" s="58">
        <f>SUM(F52:F59)</f>
        <v>0.20560000000000003</v>
      </c>
      <c r="G60" s="307">
        <f>SUM(G52:G59)</f>
        <v>287.67219757840917</v>
      </c>
      <c r="H60" s="60"/>
      <c r="I60" s="300"/>
      <c r="K60" s="64" t="s">
        <v>257</v>
      </c>
      <c r="L60" s="53"/>
      <c r="M60" s="157"/>
      <c r="N60" s="58"/>
      <c r="O60" s="307">
        <f>SUM(O52:O59)</f>
        <v>542.02691618902577</v>
      </c>
      <c r="P60" s="60"/>
      <c r="Q60" s="300"/>
      <c r="R60" s="179"/>
      <c r="S60" s="64"/>
      <c r="T60" s="53"/>
      <c r="U60" s="157"/>
      <c r="V60" s="57">
        <f t="shared" si="12"/>
        <v>0.10280000000000002</v>
      </c>
      <c r="W60" s="52"/>
      <c r="X60" s="60"/>
      <c r="Y60" s="71"/>
      <c r="AA60" s="167"/>
      <c r="AB60" s="53"/>
      <c r="AC60" s="157"/>
      <c r="AD60" s="57">
        <f t="shared" si="25"/>
        <v>0.15420000000000003</v>
      </c>
      <c r="AE60" s="52"/>
      <c r="AF60" s="60"/>
      <c r="AG60" s="71"/>
    </row>
    <row r="61" spans="2:33" ht="15" thickBot="1" x14ac:dyDescent="0.4">
      <c r="B61" s="36"/>
      <c r="C61" s="65" t="s">
        <v>116</v>
      </c>
      <c r="D61" s="66"/>
      <c r="E61" s="164">
        <f>SUM(E52:E59)/8</f>
        <v>0.45999999999999996</v>
      </c>
      <c r="F61" s="186"/>
      <c r="G61" s="90"/>
      <c r="H61" s="28"/>
      <c r="I61" s="302">
        <f>SUM(I52:I58)</f>
        <v>8419624.6098739356</v>
      </c>
      <c r="K61" s="65" t="s">
        <v>116</v>
      </c>
      <c r="L61" s="66"/>
      <c r="M61" s="164">
        <f>SUM(M52:M59)/8</f>
        <v>0.84950000000000003</v>
      </c>
      <c r="N61" s="186"/>
      <c r="O61" s="90"/>
      <c r="P61" s="28"/>
      <c r="Q61" s="302">
        <f>SUM(Q52:Q58)</f>
        <v>20812816.386618964</v>
      </c>
      <c r="R61" s="179"/>
      <c r="S61" s="65" t="s">
        <v>116</v>
      </c>
      <c r="T61" s="66"/>
      <c r="U61" s="88"/>
      <c r="V61" s="67"/>
      <c r="W61" s="66"/>
      <c r="X61" s="28"/>
      <c r="Y61" s="70">
        <f>SUM(Y52:Y58)</f>
        <v>1806466.89893608</v>
      </c>
      <c r="AA61" s="168" t="s">
        <v>116</v>
      </c>
      <c r="AB61" s="66"/>
      <c r="AC61" s="88"/>
      <c r="AD61" s="67"/>
      <c r="AE61" s="66"/>
      <c r="AF61" s="28"/>
      <c r="AG61" s="70">
        <f>SUM(AG52:AG58)</f>
        <v>2856824.4321694821</v>
      </c>
    </row>
    <row r="62" spans="2:33" ht="15" thickBot="1" x14ac:dyDescent="0.4">
      <c r="B62" s="36"/>
      <c r="C62" s="29"/>
      <c r="D62" s="38"/>
      <c r="E62" s="30"/>
      <c r="F62" s="11"/>
      <c r="G62" s="82"/>
      <c r="H62" s="37"/>
      <c r="I62" s="252"/>
      <c r="K62"/>
      <c r="M62" s="30"/>
      <c r="O62" s="82"/>
      <c r="Q62" s="298"/>
      <c r="R62" s="179"/>
      <c r="S62" s="29"/>
      <c r="T62" s="38"/>
      <c r="V62" s="50"/>
      <c r="W62" s="38"/>
      <c r="X62" s="37"/>
    </row>
    <row r="63" spans="2:33" x14ac:dyDescent="0.35">
      <c r="B63" s="36"/>
      <c r="C63" s="376" t="s">
        <v>223</v>
      </c>
      <c r="D63" s="377"/>
      <c r="E63" s="377"/>
      <c r="F63" s="377"/>
      <c r="G63" s="377"/>
      <c r="H63" s="377"/>
      <c r="I63" s="378"/>
      <c r="K63" s="376" t="s">
        <v>167</v>
      </c>
      <c r="L63" s="377"/>
      <c r="M63" s="377"/>
      <c r="N63" s="377"/>
      <c r="O63" s="377"/>
      <c r="P63" s="377"/>
      <c r="Q63" s="378"/>
      <c r="R63" s="179"/>
      <c r="S63" s="376" t="s">
        <v>85</v>
      </c>
      <c r="T63" s="377"/>
      <c r="U63" s="377"/>
      <c r="V63" s="377"/>
      <c r="W63" s="377"/>
      <c r="X63" s="377"/>
      <c r="Y63" s="378"/>
      <c r="AA63" s="376" t="s">
        <v>86</v>
      </c>
      <c r="AB63" s="377"/>
      <c r="AC63" s="377"/>
      <c r="AD63" s="377"/>
      <c r="AE63" s="377"/>
      <c r="AF63" s="377"/>
      <c r="AG63" s="378"/>
    </row>
    <row r="64" spans="2:33" x14ac:dyDescent="0.35">
      <c r="B64"/>
      <c r="C64" s="62"/>
      <c r="D64" s="45" t="s">
        <v>284</v>
      </c>
      <c r="E64" s="32" t="s">
        <v>226</v>
      </c>
      <c r="F64" s="329" t="s">
        <v>145</v>
      </c>
      <c r="G64" s="159" t="s">
        <v>83</v>
      </c>
      <c r="H64" s="32" t="s">
        <v>143</v>
      </c>
      <c r="I64" s="257" t="s">
        <v>110</v>
      </c>
      <c r="K64" s="62"/>
      <c r="L64" s="45" t="s">
        <v>284</v>
      </c>
      <c r="M64" s="32" t="s">
        <v>226</v>
      </c>
      <c r="N64" s="329" t="s">
        <v>145</v>
      </c>
      <c r="O64" s="159" t="s">
        <v>83</v>
      </c>
      <c r="P64" s="32" t="s">
        <v>143</v>
      </c>
      <c r="Q64" s="299" t="s">
        <v>110</v>
      </c>
      <c r="S64" s="62"/>
      <c r="T64" s="45" t="s">
        <v>284</v>
      </c>
      <c r="U64" s="32" t="s">
        <v>226</v>
      </c>
      <c r="V64" s="49" t="s">
        <v>145</v>
      </c>
      <c r="W64" s="51" t="s">
        <v>83</v>
      </c>
      <c r="X64" s="32" t="s">
        <v>143</v>
      </c>
      <c r="Y64" s="68" t="s">
        <v>110</v>
      </c>
      <c r="AA64" s="166"/>
      <c r="AB64" s="45" t="s">
        <v>284</v>
      </c>
      <c r="AC64" s="32" t="s">
        <v>226</v>
      </c>
      <c r="AD64" s="49" t="s">
        <v>145</v>
      </c>
      <c r="AE64" s="51" t="s">
        <v>83</v>
      </c>
      <c r="AF64" s="32" t="s">
        <v>143</v>
      </c>
      <c r="AG64" s="68" t="s">
        <v>110</v>
      </c>
    </row>
    <row r="65" spans="2:33" ht="19.5" customHeight="1" x14ac:dyDescent="0.35">
      <c r="B65"/>
      <c r="C65" s="63" t="s">
        <v>273</v>
      </c>
      <c r="D65" s="53">
        <f>' TAM &amp; SOM'!J19</f>
        <v>246.00540250000006</v>
      </c>
      <c r="E65" s="157">
        <f>M52*0.25</f>
        <v>3.6000000000000011E-2</v>
      </c>
      <c r="F65" s="58">
        <f>N52*(1+E65)</f>
        <v>7.2177705600000031E-2</v>
      </c>
      <c r="G65" s="307">
        <f t="shared" ref="G65:G72" si="28">F65*D65</f>
        <v>17.756105517654515</v>
      </c>
      <c r="H65" s="58">
        <f>P52*1.15</f>
        <v>8.4228515625000014E-2</v>
      </c>
      <c r="I65" s="300">
        <f>H65*G65*1000000</f>
        <v>1495570.4110329123</v>
      </c>
      <c r="K65" s="63" t="s">
        <v>273</v>
      </c>
      <c r="L65" s="53">
        <f>' TAM &amp; SOM'!K19</f>
        <v>270.60594275000011</v>
      </c>
      <c r="M65" s="157">
        <v>0.25</v>
      </c>
      <c r="N65" s="58">
        <f>F65*(1+M65)</f>
        <v>9.0222132000000038E-2</v>
      </c>
      <c r="O65" s="307">
        <f t="shared" ref="O65:O72" si="29">N65*L65</f>
        <v>24.414645086774964</v>
      </c>
      <c r="P65" s="58">
        <v>7.0000000000000007E-2</v>
      </c>
      <c r="Q65" s="300">
        <f>P65*O65*1000000</f>
        <v>1709025.1560742478</v>
      </c>
      <c r="S65" s="63" t="s">
        <v>273</v>
      </c>
      <c r="T65" s="53">
        <f t="shared" ref="T65:T72" si="30">D65</f>
        <v>246.00540250000006</v>
      </c>
      <c r="U65" s="157">
        <f t="shared" ref="U65:U72" si="31">(W65-AE52)/AE52</f>
        <v>-0.13086506666666661</v>
      </c>
      <c r="V65" s="57">
        <f>F65/2</f>
        <v>3.6088852800000015E-2</v>
      </c>
      <c r="W65" s="52">
        <f>V65*T65</f>
        <v>8.8780527588272573</v>
      </c>
      <c r="X65" s="58">
        <v>0.02</v>
      </c>
      <c r="Y65" s="71">
        <f>X65*W65*1000000</f>
        <v>177561.05517654517</v>
      </c>
      <c r="AA65" s="63" t="s">
        <v>273</v>
      </c>
      <c r="AB65" s="53">
        <f>L65</f>
        <v>270.60594275000011</v>
      </c>
      <c r="AC65" s="157">
        <f>(AE65-W65)/W65</f>
        <v>0.37500000000000039</v>
      </c>
      <c r="AD65" s="57">
        <f t="shared" ref="AD65:AD72" si="32">N65/2</f>
        <v>4.5111066000000019E-2</v>
      </c>
      <c r="AE65" s="52">
        <f>AD65*AB65</f>
        <v>12.207322543387482</v>
      </c>
      <c r="AF65" s="58">
        <v>0.02</v>
      </c>
      <c r="AG65" s="71">
        <f>AF65*AE65*1000000</f>
        <v>244146.45086774963</v>
      </c>
    </row>
    <row r="66" spans="2:33" x14ac:dyDescent="0.35">
      <c r="B66"/>
      <c r="C66" s="64" t="s">
        <v>35</v>
      </c>
      <c r="D66" s="53">
        <f>' TAM &amp; SOM'!J20</f>
        <v>520.42103942400024</v>
      </c>
      <c r="E66" s="157">
        <f t="shared" ref="E66:E67" si="33">M53*1.15</f>
        <v>2.2999999999999998</v>
      </c>
      <c r="F66" s="58">
        <f t="shared" ref="F66:F72" si="34">N53*(1+E66)</f>
        <v>0.19799999999999998</v>
      </c>
      <c r="G66" s="307">
        <f>F66*D66</f>
        <v>103.04336580595204</v>
      </c>
      <c r="H66" s="58">
        <f t="shared" ref="H66:H72" si="35">P53*1.15</f>
        <v>5.7499999999999996E-2</v>
      </c>
      <c r="I66" s="300">
        <f>H66*G66*1000000</f>
        <v>5924993.5338422414</v>
      </c>
      <c r="K66" s="64" t="s">
        <v>35</v>
      </c>
      <c r="L66" s="53">
        <f>' TAM &amp; SOM'!K20</f>
        <v>562.0547225779203</v>
      </c>
      <c r="M66" s="157">
        <v>0.6</v>
      </c>
      <c r="N66" s="58">
        <f>F66*(1+M66)</f>
        <v>0.31679999999999997</v>
      </c>
      <c r="O66" s="307">
        <f>N66*L66</f>
        <v>178.05893611268513</v>
      </c>
      <c r="P66" s="60">
        <f>P67</f>
        <v>7.0000000000000007E-2</v>
      </c>
      <c r="Q66" s="300">
        <f>P66*O66*1000000</f>
        <v>12464125.527887961</v>
      </c>
      <c r="S66" s="64" t="s">
        <v>35</v>
      </c>
      <c r="T66" s="53">
        <f>D66</f>
        <v>520.42103942400024</v>
      </c>
      <c r="U66" s="157">
        <f t="shared" si="31"/>
        <v>6.1279999999999992</v>
      </c>
      <c r="V66" s="57">
        <f>F66/2</f>
        <v>9.8999999999999991E-2</v>
      </c>
      <c r="W66" s="52">
        <f>V66*T66</f>
        <v>51.521682902976018</v>
      </c>
      <c r="X66" s="58">
        <v>0.02</v>
      </c>
      <c r="Y66" s="71">
        <f>X66*W66*1000000</f>
        <v>1030433.6580595204</v>
      </c>
      <c r="AA66" s="167" t="s">
        <v>35</v>
      </c>
      <c r="AB66" s="53">
        <f t="shared" ref="AB66:AB72" si="36">AB40</f>
        <v>413.12700000000012</v>
      </c>
      <c r="AC66" s="157">
        <f>(AE66-W66)/W66</f>
        <v>0.27013158563227135</v>
      </c>
      <c r="AD66" s="57">
        <f>N66/2</f>
        <v>0.15839999999999999</v>
      </c>
      <c r="AE66" s="52">
        <f>AD66*AB66</f>
        <v>65.439316800000014</v>
      </c>
      <c r="AF66" s="60">
        <f>AF67</f>
        <v>0.02</v>
      </c>
      <c r="AG66" s="71">
        <f>AF66*AE66*1000000</f>
        <v>1308786.3360000004</v>
      </c>
    </row>
    <row r="67" spans="2:33" ht="17.25" customHeight="1" x14ac:dyDescent="0.35">
      <c r="B67"/>
      <c r="C67" s="63" t="s">
        <v>274</v>
      </c>
      <c r="D67" s="53">
        <f>' TAM &amp; SOM'!J21</f>
        <v>1762.4970857812509</v>
      </c>
      <c r="E67" s="157">
        <f t="shared" si="33"/>
        <v>1.3247999999999998</v>
      </c>
      <c r="F67" s="58">
        <f t="shared" si="34"/>
        <v>0.19611640831999999</v>
      </c>
      <c r="G67" s="307">
        <f t="shared" si="28"/>
        <v>345.65459813788584</v>
      </c>
      <c r="H67" s="58">
        <f t="shared" si="35"/>
        <v>5.3906249999999996E-2</v>
      </c>
      <c r="I67" s="300">
        <f t="shared" ref="I67:I72" si="37">H67*G67*1000000</f>
        <v>18632943.180870406</v>
      </c>
      <c r="K67" s="63" t="s">
        <v>274</v>
      </c>
      <c r="L67" s="53">
        <f>' TAM &amp; SOM'!K21</f>
        <v>1850.6219400703135</v>
      </c>
      <c r="M67" s="157">
        <v>0.6</v>
      </c>
      <c r="N67" s="58">
        <f t="shared" ref="N67:N72" si="38">F67*(1+M67)</f>
        <v>0.313786253312</v>
      </c>
      <c r="O67" s="307">
        <f t="shared" si="29"/>
        <v>580.6997248716483</v>
      </c>
      <c r="P67" s="60">
        <f>P65</f>
        <v>7.0000000000000007E-2</v>
      </c>
      <c r="Q67" s="300">
        <f t="shared" ref="Q67:Q72" si="39">P67*O67*1000000</f>
        <v>40648980.741015382</v>
      </c>
      <c r="S67" s="63" t="s">
        <v>274</v>
      </c>
      <c r="T67" s="53">
        <f t="shared" si="30"/>
        <v>1762.4970857812509</v>
      </c>
      <c r="U67" s="157">
        <f t="shared" si="31"/>
        <v>2.5020787200000001</v>
      </c>
      <c r="V67" s="57">
        <f>F67/2</f>
        <v>9.8058204159999995E-2</v>
      </c>
      <c r="W67" s="52">
        <f t="shared" ref="W67:W72" si="40">V67*T67</f>
        <v>172.82729906894292</v>
      </c>
      <c r="X67" s="58">
        <v>0.02</v>
      </c>
      <c r="Y67" s="71">
        <f t="shared" ref="Y67:Y72" si="41">X67*W67*1000000</f>
        <v>3456545.9813788584</v>
      </c>
      <c r="AA67" s="63" t="s">
        <v>274</v>
      </c>
      <c r="AB67" s="53">
        <f t="shared" si="36"/>
        <v>1522.5112500000005</v>
      </c>
      <c r="AC67" s="157">
        <f t="shared" ref="AC67:AC72" si="42">(AE67-W67)/W67</f>
        <v>0.38214015765036158</v>
      </c>
      <c r="AD67" s="57">
        <f t="shared" si="32"/>
        <v>0.156893126656</v>
      </c>
      <c r="AE67" s="52">
        <f t="shared" ref="AE67:AE72" si="43">AD67*AB67</f>
        <v>238.87155038143496</v>
      </c>
      <c r="AF67" s="60">
        <f>AF65</f>
        <v>0.02</v>
      </c>
      <c r="AG67" s="71">
        <f t="shared" ref="AG67:AG72" si="44">AF67*AE67*1000000</f>
        <v>4777431.0076286998</v>
      </c>
    </row>
    <row r="68" spans="2:33" x14ac:dyDescent="0.35">
      <c r="B68" s="35"/>
      <c r="C68" s="64" t="s">
        <v>58</v>
      </c>
      <c r="D68" s="53">
        <f>' TAM &amp; SOM'!J22</f>
        <v>7599.1240738636361</v>
      </c>
      <c r="E68" s="157">
        <v>1</v>
      </c>
      <c r="F68" s="58">
        <f t="shared" si="34"/>
        <v>4.6800000000000008E-2</v>
      </c>
      <c r="G68" s="307">
        <f t="shared" si="28"/>
        <v>355.63900665681825</v>
      </c>
      <c r="H68" s="58">
        <f t="shared" si="35"/>
        <v>5.3906249999999996E-2</v>
      </c>
      <c r="I68" s="300">
        <f t="shared" si="37"/>
        <v>19171165.202594109</v>
      </c>
      <c r="K68" s="64" t="s">
        <v>58</v>
      </c>
      <c r="L68" s="53">
        <f>' TAM &amp; SOM'!K22</f>
        <v>7979.0802775568181</v>
      </c>
      <c r="M68" s="157">
        <v>1</v>
      </c>
      <c r="N68" s="58">
        <f t="shared" si="38"/>
        <v>9.3600000000000017E-2</v>
      </c>
      <c r="O68" s="307">
        <f t="shared" si="29"/>
        <v>746.84191397931829</v>
      </c>
      <c r="P68" s="60">
        <f>P66</f>
        <v>7.0000000000000007E-2</v>
      </c>
      <c r="Q68" s="300">
        <f t="shared" si="39"/>
        <v>52278933.978552289</v>
      </c>
      <c r="R68" s="176"/>
      <c r="S68" s="64" t="s">
        <v>58</v>
      </c>
      <c r="T68" s="53">
        <f t="shared" si="30"/>
        <v>7599.1240738636361</v>
      </c>
      <c r="U68" s="157">
        <f t="shared" si="31"/>
        <v>1.52</v>
      </c>
      <c r="V68" s="57">
        <f t="shared" ref="V68:V72" si="45">F68/2</f>
        <v>2.3400000000000004E-2</v>
      </c>
      <c r="W68" s="52">
        <f t="shared" si="40"/>
        <v>177.81950332840913</v>
      </c>
      <c r="X68" s="58">
        <v>0.02</v>
      </c>
      <c r="Y68" s="71">
        <f t="shared" si="41"/>
        <v>3556390.0665681823</v>
      </c>
      <c r="AA68" s="167" t="s">
        <v>58</v>
      </c>
      <c r="AB68" s="53">
        <f t="shared" si="36"/>
        <v>6564.4090909090901</v>
      </c>
      <c r="AC68" s="157">
        <f t="shared" si="42"/>
        <v>0.72767519706295192</v>
      </c>
      <c r="AD68" s="57">
        <f t="shared" si="32"/>
        <v>4.6800000000000008E-2</v>
      </c>
      <c r="AE68" s="52">
        <f t="shared" si="43"/>
        <v>307.21434545454548</v>
      </c>
      <c r="AF68" s="60">
        <f>AF66</f>
        <v>0.02</v>
      </c>
      <c r="AG68" s="71">
        <f t="shared" si="44"/>
        <v>6144286.9090909092</v>
      </c>
    </row>
    <row r="69" spans="2:33" x14ac:dyDescent="0.35">
      <c r="B69" s="35"/>
      <c r="C69" s="64" t="s">
        <v>62</v>
      </c>
      <c r="D69" s="53">
        <f>' TAM &amp; SOM'!J23</f>
        <v>239.84542968750006</v>
      </c>
      <c r="E69" s="157">
        <v>0.6</v>
      </c>
      <c r="F69" s="58">
        <f t="shared" si="34"/>
        <v>1.7680000000000001E-2</v>
      </c>
      <c r="G69" s="307">
        <f t="shared" si="28"/>
        <v>4.2404671968750014</v>
      </c>
      <c r="H69" s="58">
        <f t="shared" si="35"/>
        <v>7.1874999999999994E-2</v>
      </c>
      <c r="I69" s="300">
        <f t="shared" si="37"/>
        <v>304783.57977539074</v>
      </c>
      <c r="K69" s="64" t="s">
        <v>62</v>
      </c>
      <c r="L69" s="53">
        <f>' TAM &amp; SOM'!K23</f>
        <v>251.83770117187507</v>
      </c>
      <c r="M69" s="157">
        <v>1</v>
      </c>
      <c r="N69" s="58">
        <f t="shared" si="38"/>
        <v>3.5360000000000003E-2</v>
      </c>
      <c r="O69" s="307">
        <f t="shared" si="29"/>
        <v>8.9049811134375023</v>
      </c>
      <c r="P69" s="60">
        <f t="shared" ref="P69:P72" si="46">P68</f>
        <v>7.0000000000000007E-2</v>
      </c>
      <c r="Q69" s="300">
        <f t="shared" si="39"/>
        <v>623348.67794062523</v>
      </c>
      <c r="R69" s="176"/>
      <c r="S69" s="64" t="s">
        <v>62</v>
      </c>
      <c r="T69" s="53">
        <f t="shared" si="30"/>
        <v>239.84542968750006</v>
      </c>
      <c r="U69" s="157">
        <f t="shared" si="31"/>
        <v>0.90399999999999991</v>
      </c>
      <c r="V69" s="57">
        <f t="shared" si="45"/>
        <v>8.8400000000000006E-3</v>
      </c>
      <c r="W69" s="52">
        <f t="shared" si="40"/>
        <v>2.1202335984375007</v>
      </c>
      <c r="X69" s="58">
        <v>0.02</v>
      </c>
      <c r="Y69" s="71">
        <f t="shared" si="41"/>
        <v>42404.671968750015</v>
      </c>
      <c r="AA69" s="167" t="s">
        <v>62</v>
      </c>
      <c r="AB69" s="53">
        <f t="shared" si="36"/>
        <v>207.18750000000003</v>
      </c>
      <c r="AC69" s="157">
        <f t="shared" si="42"/>
        <v>0.72767519706295203</v>
      </c>
      <c r="AD69" s="57">
        <f t="shared" si="32"/>
        <v>1.7680000000000001E-2</v>
      </c>
      <c r="AE69" s="52">
        <f t="shared" si="43"/>
        <v>3.663075000000001</v>
      </c>
      <c r="AF69" s="60">
        <f t="shared" ref="AF69:AF72" si="47">AF68</f>
        <v>0.02</v>
      </c>
      <c r="AG69" s="71">
        <f t="shared" si="44"/>
        <v>73261.500000000015</v>
      </c>
    </row>
    <row r="70" spans="2:33" ht="18.75" customHeight="1" x14ac:dyDescent="0.35">
      <c r="B70" s="35"/>
      <c r="C70" s="64" t="s">
        <v>204</v>
      </c>
      <c r="D70" s="53">
        <f>' TAM &amp; SOM'!J24</f>
        <v>2066.0567484375006</v>
      </c>
      <c r="E70" s="157">
        <f>M57*1.5</f>
        <v>1.5</v>
      </c>
      <c r="F70" s="58">
        <f t="shared" si="34"/>
        <v>7.4999999999999997E-2</v>
      </c>
      <c r="G70" s="307">
        <f t="shared" si="28"/>
        <v>154.95425613281253</v>
      </c>
      <c r="H70" s="58">
        <f t="shared" si="35"/>
        <v>6.2890625000000006E-2</v>
      </c>
      <c r="I70" s="300">
        <f t="shared" si="37"/>
        <v>9745170.014602663</v>
      </c>
      <c r="K70" s="64" t="s">
        <v>204</v>
      </c>
      <c r="L70" s="53">
        <f>' TAM &amp; SOM'!K24</f>
        <v>2169.3595858593758</v>
      </c>
      <c r="M70" s="157">
        <v>0.75</v>
      </c>
      <c r="N70" s="58">
        <f t="shared" si="38"/>
        <v>0.13125000000000001</v>
      </c>
      <c r="O70" s="307">
        <f t="shared" si="29"/>
        <v>284.72844564404306</v>
      </c>
      <c r="P70" s="60">
        <f t="shared" si="46"/>
        <v>7.0000000000000007E-2</v>
      </c>
      <c r="Q70" s="300">
        <f t="shared" si="39"/>
        <v>19930991.195083018</v>
      </c>
      <c r="R70" s="176"/>
      <c r="S70" s="64" t="s">
        <v>204</v>
      </c>
      <c r="T70" s="53">
        <f t="shared" si="30"/>
        <v>2066.0567484375006</v>
      </c>
      <c r="U70" s="157">
        <f t="shared" si="31"/>
        <v>2.5</v>
      </c>
      <c r="V70" s="57">
        <f t="shared" si="45"/>
        <v>3.7499999999999999E-2</v>
      </c>
      <c r="W70" s="52">
        <f t="shared" si="40"/>
        <v>77.477128066406266</v>
      </c>
      <c r="X70" s="58">
        <v>0.02</v>
      </c>
      <c r="Y70" s="71">
        <f t="shared" si="41"/>
        <v>1549542.5613281252</v>
      </c>
      <c r="AA70" s="167" t="s">
        <v>204</v>
      </c>
      <c r="AB70" s="53">
        <f t="shared" si="36"/>
        <v>1784.7375000000002</v>
      </c>
      <c r="AC70" s="157">
        <f t="shared" si="42"/>
        <v>0.511715797430083</v>
      </c>
      <c r="AD70" s="57">
        <f t="shared" si="32"/>
        <v>6.5625000000000003E-2</v>
      </c>
      <c r="AE70" s="52">
        <f t="shared" si="43"/>
        <v>117.12339843750001</v>
      </c>
      <c r="AF70" s="60">
        <f t="shared" si="47"/>
        <v>0.02</v>
      </c>
      <c r="AG70" s="71">
        <f t="shared" si="44"/>
        <v>2342467.9687500005</v>
      </c>
    </row>
    <row r="71" spans="2:33" x14ac:dyDescent="0.35">
      <c r="B71" s="35"/>
      <c r="C71" s="64" t="s">
        <v>207</v>
      </c>
      <c r="D71" s="53">
        <f>' TAM &amp; SOM'!J25</f>
        <v>94.809487500000017</v>
      </c>
      <c r="E71" s="157">
        <f>M58*2</f>
        <v>1.2</v>
      </c>
      <c r="F71" s="58">
        <f t="shared" si="34"/>
        <v>0.13728000000000001</v>
      </c>
      <c r="G71" s="307">
        <f t="shared" si="28"/>
        <v>13.015446444000004</v>
      </c>
      <c r="H71" s="58">
        <f t="shared" si="35"/>
        <v>5.3906249999999996E-2</v>
      </c>
      <c r="I71" s="300">
        <f t="shared" si="37"/>
        <v>701613.90987187508</v>
      </c>
      <c r="K71" s="64" t="s">
        <v>207</v>
      </c>
      <c r="L71" s="53">
        <f>' TAM &amp; SOM'!K25</f>
        <v>99.549961875000022</v>
      </c>
      <c r="M71" s="157">
        <v>1</v>
      </c>
      <c r="N71" s="58">
        <f t="shared" si="38"/>
        <v>0.27456000000000003</v>
      </c>
      <c r="O71" s="307">
        <f t="shared" si="29"/>
        <v>27.332437532400007</v>
      </c>
      <c r="P71" s="60">
        <f t="shared" si="46"/>
        <v>7.0000000000000007E-2</v>
      </c>
      <c r="Q71" s="300">
        <f t="shared" si="39"/>
        <v>1913270.6272680007</v>
      </c>
      <c r="R71" s="176"/>
      <c r="S71" s="64" t="s">
        <v>207</v>
      </c>
      <c r="T71" s="53">
        <f t="shared" si="30"/>
        <v>94.809487500000017</v>
      </c>
      <c r="U71" s="157">
        <f t="shared" si="31"/>
        <v>1.4640000000000004</v>
      </c>
      <c r="V71" s="57">
        <f t="shared" si="45"/>
        <v>6.8640000000000007E-2</v>
      </c>
      <c r="W71" s="52">
        <f t="shared" si="40"/>
        <v>6.5077232220000019</v>
      </c>
      <c r="X71" s="58">
        <v>0.02</v>
      </c>
      <c r="Y71" s="71">
        <f t="shared" si="41"/>
        <v>130154.46444000004</v>
      </c>
      <c r="AA71" s="167" t="s">
        <v>207</v>
      </c>
      <c r="AB71" s="53">
        <f t="shared" si="36"/>
        <v>81.900000000000006</v>
      </c>
      <c r="AC71" s="157">
        <f t="shared" si="42"/>
        <v>0.72767519706295203</v>
      </c>
      <c r="AD71" s="57">
        <f t="shared" si="32"/>
        <v>0.13728000000000001</v>
      </c>
      <c r="AE71" s="52">
        <f t="shared" si="43"/>
        <v>11.243232000000003</v>
      </c>
      <c r="AF71" s="60">
        <f t="shared" si="47"/>
        <v>0.02</v>
      </c>
      <c r="AG71" s="71">
        <f t="shared" si="44"/>
        <v>224864.64000000007</v>
      </c>
    </row>
    <row r="72" spans="2:33" x14ac:dyDescent="0.35">
      <c r="B72" s="35"/>
      <c r="C72" s="64" t="s">
        <v>215</v>
      </c>
      <c r="D72" s="53">
        <f>' TAM &amp; SOM'!J26</f>
        <v>7461.9807136875024</v>
      </c>
      <c r="E72" s="157">
        <f>M59*2</f>
        <v>0.8</v>
      </c>
      <c r="F72" s="58">
        <f t="shared" si="34"/>
        <v>3.024E-2</v>
      </c>
      <c r="G72" s="307">
        <f t="shared" si="28"/>
        <v>225.65029678191007</v>
      </c>
      <c r="H72" s="58">
        <f t="shared" si="35"/>
        <v>5.3906249999999996E-2</v>
      </c>
      <c r="I72" s="300">
        <f t="shared" si="37"/>
        <v>12163961.310899839</v>
      </c>
      <c r="K72" s="64" t="s">
        <v>215</v>
      </c>
      <c r="L72" s="53">
        <f>' TAM &amp; SOM'!K26</f>
        <v>7835.0797493718783</v>
      </c>
      <c r="M72" s="157">
        <v>0.5</v>
      </c>
      <c r="N72" s="58">
        <f t="shared" si="38"/>
        <v>4.5359999999999998E-2</v>
      </c>
      <c r="O72" s="307">
        <f t="shared" si="29"/>
        <v>355.39921743150836</v>
      </c>
      <c r="P72" s="60">
        <f t="shared" si="46"/>
        <v>7.0000000000000007E-2</v>
      </c>
      <c r="Q72" s="300">
        <f t="shared" si="39"/>
        <v>24877945.22020559</v>
      </c>
      <c r="R72" s="176"/>
      <c r="S72" s="64" t="s">
        <v>215</v>
      </c>
      <c r="T72" s="53">
        <f t="shared" si="30"/>
        <v>7461.9807136875024</v>
      </c>
      <c r="U72" s="157">
        <f t="shared" si="31"/>
        <v>0.76399999999999979</v>
      </c>
      <c r="V72" s="57">
        <f t="shared" si="45"/>
        <v>1.512E-2</v>
      </c>
      <c r="W72" s="52">
        <f t="shared" si="40"/>
        <v>112.82514839095504</v>
      </c>
      <c r="X72" s="58">
        <v>0.02</v>
      </c>
      <c r="Y72" s="71">
        <f t="shared" si="41"/>
        <v>2256502.9678191007</v>
      </c>
      <c r="AA72" s="167" t="s">
        <v>215</v>
      </c>
      <c r="AB72" s="53">
        <f t="shared" si="36"/>
        <v>6445.9395000000013</v>
      </c>
      <c r="AC72" s="157">
        <f t="shared" si="42"/>
        <v>0.29575639779721391</v>
      </c>
      <c r="AD72" s="57">
        <f t="shared" si="32"/>
        <v>2.2679999999999999E-2</v>
      </c>
      <c r="AE72" s="52">
        <f t="shared" si="43"/>
        <v>146.19390786000002</v>
      </c>
      <c r="AF72" s="60">
        <f t="shared" si="47"/>
        <v>0.02</v>
      </c>
      <c r="AG72" s="71">
        <f t="shared" si="44"/>
        <v>2923878.1572000002</v>
      </c>
    </row>
    <row r="73" spans="2:33" x14ac:dyDescent="0.35">
      <c r="B73" s="35"/>
      <c r="C73" s="64" t="s">
        <v>257</v>
      </c>
      <c r="D73" s="53"/>
      <c r="E73" s="157"/>
      <c r="F73" s="58"/>
      <c r="G73" s="307">
        <f>SUM(G65:G72)</f>
        <v>1219.9535426739083</v>
      </c>
      <c r="H73" s="58"/>
      <c r="I73" s="300"/>
      <c r="K73" s="64"/>
      <c r="L73" s="53"/>
      <c r="M73" s="157"/>
      <c r="N73" s="58"/>
      <c r="O73" s="307">
        <f>SUM(O65:O72)</f>
        <v>2206.380301771816</v>
      </c>
      <c r="P73" s="60"/>
      <c r="Q73" s="300"/>
      <c r="R73" s="176"/>
      <c r="S73" s="64"/>
      <c r="T73" s="53"/>
      <c r="U73" s="157"/>
      <c r="V73" s="57"/>
      <c r="W73" s="52"/>
      <c r="X73" s="58"/>
      <c r="Y73" s="71"/>
      <c r="AA73" s="167"/>
      <c r="AB73" s="53"/>
      <c r="AC73" s="157"/>
      <c r="AD73" s="57"/>
      <c r="AE73" s="52"/>
      <c r="AF73" s="60"/>
      <c r="AG73" s="71"/>
    </row>
    <row r="74" spans="2:33" ht="15" thickBot="1" x14ac:dyDescent="0.4">
      <c r="B74" s="35"/>
      <c r="C74" s="65" t="s">
        <v>116</v>
      </c>
      <c r="D74" s="66"/>
      <c r="E74" s="164">
        <f>SUM(E65:E72)/8</f>
        <v>1.0951</v>
      </c>
      <c r="F74" s="186"/>
      <c r="G74" s="90"/>
      <c r="H74" s="28"/>
      <c r="I74" s="302">
        <f>SUM(I65:I71)</f>
        <v>55976239.832589597</v>
      </c>
      <c r="K74" s="65" t="s">
        <v>116</v>
      </c>
      <c r="L74" s="66"/>
      <c r="M74" s="164">
        <f>SUM(M65:M72)/8</f>
        <v>0.71250000000000002</v>
      </c>
      <c r="N74" s="186"/>
      <c r="O74" s="90"/>
      <c r="P74" s="28"/>
      <c r="Q74" s="302">
        <f>SUM(Q65:Q71)</f>
        <v>129568675.90382153</v>
      </c>
      <c r="R74" s="176"/>
      <c r="S74" s="65" t="s">
        <v>116</v>
      </c>
      <c r="T74" s="66"/>
      <c r="U74" s="88"/>
      <c r="V74" s="67"/>
      <c r="W74" s="66"/>
      <c r="X74" s="28"/>
      <c r="Y74" s="70">
        <f>SUM(Y65:Y71)</f>
        <v>9943032.4589199815</v>
      </c>
      <c r="AA74" s="168" t="s">
        <v>116</v>
      </c>
      <c r="AB74" s="66"/>
      <c r="AC74" s="88"/>
      <c r="AD74" s="67"/>
      <c r="AE74" s="66"/>
      <c r="AF74" s="28"/>
      <c r="AG74" s="70">
        <f>SUM(AG65:AG71)</f>
        <v>15115244.812337359</v>
      </c>
    </row>
    <row r="75" spans="2:33" ht="15" thickBot="1" x14ac:dyDescent="0.4">
      <c r="B75" s="35"/>
      <c r="C75" s="29"/>
      <c r="D75" s="38"/>
      <c r="E75" s="30"/>
      <c r="F75" s="11"/>
      <c r="G75" s="82"/>
      <c r="I75" s="252"/>
      <c r="K75"/>
      <c r="M75" s="30"/>
      <c r="O75" s="82"/>
      <c r="Q75" s="298"/>
      <c r="R75" s="176"/>
      <c r="S75" s="29"/>
      <c r="T75" s="38"/>
      <c r="V75" s="50"/>
      <c r="W75" s="38"/>
    </row>
    <row r="76" spans="2:33" x14ac:dyDescent="0.35">
      <c r="B76" s="35"/>
      <c r="C76" s="376" t="s">
        <v>168</v>
      </c>
      <c r="D76" s="377"/>
      <c r="E76" s="377"/>
      <c r="F76" s="377"/>
      <c r="G76" s="377"/>
      <c r="H76" s="377"/>
      <c r="I76" s="378"/>
      <c r="K76"/>
      <c r="M76" s="30"/>
      <c r="O76" s="82"/>
      <c r="Q76" s="298"/>
      <c r="R76" s="176"/>
      <c r="S76" s="376" t="s">
        <v>165</v>
      </c>
      <c r="T76" s="377"/>
      <c r="U76" s="377"/>
      <c r="V76" s="377"/>
      <c r="W76" s="377"/>
      <c r="X76" s="377"/>
      <c r="Y76" s="378"/>
    </row>
    <row r="77" spans="2:33" x14ac:dyDescent="0.35">
      <c r="B77" s="35"/>
      <c r="C77" s="62"/>
      <c r="D77" s="45" t="s">
        <v>284</v>
      </c>
      <c r="E77" s="32" t="s">
        <v>226</v>
      </c>
      <c r="F77" s="329" t="s">
        <v>145</v>
      </c>
      <c r="G77" s="159" t="s">
        <v>83</v>
      </c>
      <c r="H77" s="32" t="s">
        <v>143</v>
      </c>
      <c r="I77" s="257" t="s">
        <v>110</v>
      </c>
      <c r="J77" s="31"/>
      <c r="K77" s="31"/>
      <c r="L77" s="31"/>
      <c r="M77" s="158"/>
      <c r="N77" s="331"/>
      <c r="O77" s="160"/>
      <c r="P77" s="31"/>
      <c r="Q77" s="303"/>
      <c r="R77" s="176"/>
      <c r="S77" s="62"/>
      <c r="T77" s="45" t="s">
        <v>284</v>
      </c>
      <c r="U77" s="32" t="s">
        <v>226</v>
      </c>
      <c r="V77" s="49" t="s">
        <v>145</v>
      </c>
      <c r="W77" s="51" t="s">
        <v>83</v>
      </c>
      <c r="X77" s="32" t="s">
        <v>143</v>
      </c>
      <c r="Y77" s="68" t="s">
        <v>110</v>
      </c>
      <c r="Z77" s="31"/>
      <c r="AA77" s="170"/>
      <c r="AB77" s="31"/>
      <c r="AC77" s="158"/>
      <c r="AD77" s="31"/>
      <c r="AE77" s="31"/>
      <c r="AF77" s="31"/>
      <c r="AG77" s="31"/>
    </row>
    <row r="78" spans="2:33" x14ac:dyDescent="0.35">
      <c r="B78" s="35"/>
      <c r="C78" s="63" t="s">
        <v>273</v>
      </c>
      <c r="D78" s="53">
        <f>' TAM &amp; SOM'!L19</f>
        <v>297.66653702500014</v>
      </c>
      <c r="E78" s="157">
        <v>0.25</v>
      </c>
      <c r="F78" s="58">
        <f>N65*(1+E78)</f>
        <v>0.11277766500000005</v>
      </c>
      <c r="G78" s="307">
        <f t="shared" ref="G78:G85" si="48">F78*D78</f>
        <v>33.570136994315575</v>
      </c>
      <c r="H78" s="58">
        <v>7.4999999999999997E-2</v>
      </c>
      <c r="I78" s="300">
        <f>H78*G78*1000000</f>
        <v>2517760.2745736684</v>
      </c>
      <c r="J78" s="31"/>
      <c r="K78" s="31"/>
      <c r="L78" s="31"/>
      <c r="M78" s="32"/>
      <c r="N78" s="331"/>
      <c r="O78" s="159"/>
      <c r="P78" s="31"/>
      <c r="Q78" s="303"/>
      <c r="R78" s="176"/>
      <c r="S78" s="63" t="s">
        <v>273</v>
      </c>
      <c r="T78" s="53">
        <f t="shared" ref="T78:T85" si="49">D78</f>
        <v>297.66653702500014</v>
      </c>
      <c r="U78" s="157">
        <f t="shared" ref="U78:U85" si="50">(W78-AE65)/AE65</f>
        <v>0.375</v>
      </c>
      <c r="V78" s="57">
        <f t="shared" ref="V78:V85" si="51">F78/2</f>
        <v>5.6388832500000027E-2</v>
      </c>
      <c r="W78" s="52">
        <f>V78*T78</f>
        <v>16.785068497157788</v>
      </c>
      <c r="X78" s="58">
        <v>0.02</v>
      </c>
      <c r="Y78" s="71">
        <f>X78*W78*1000000</f>
        <v>335701.36994315573</v>
      </c>
      <c r="Z78" s="31"/>
      <c r="AA78" s="170"/>
      <c r="AB78" s="31"/>
      <c r="AC78" s="32"/>
      <c r="AD78" s="31"/>
      <c r="AE78" s="31"/>
      <c r="AF78" s="31"/>
      <c r="AG78" s="31"/>
    </row>
    <row r="79" spans="2:33" ht="20.25" customHeight="1" x14ac:dyDescent="0.35">
      <c r="B79" s="35"/>
      <c r="C79" s="64" t="s">
        <v>35</v>
      </c>
      <c r="D79" s="53">
        <f>' TAM &amp; SOM'!L20</f>
        <v>607.01910038415394</v>
      </c>
      <c r="E79" s="157">
        <v>0.6</v>
      </c>
      <c r="F79" s="58">
        <f t="shared" ref="F79:F85" si="52">N66*1.4</f>
        <v>0.44351999999999991</v>
      </c>
      <c r="G79" s="307">
        <f>F79*D79</f>
        <v>269.22511140237992</v>
      </c>
      <c r="H79" s="60">
        <f>H80</f>
        <v>7.4999999999999997E-2</v>
      </c>
      <c r="I79" s="300">
        <f>H79*G79*1000000</f>
        <v>20191883.355178494</v>
      </c>
      <c r="K79"/>
      <c r="M79" s="30"/>
      <c r="O79" s="82"/>
      <c r="Q79" s="298"/>
      <c r="R79" s="176"/>
      <c r="S79" s="64" t="s">
        <v>35</v>
      </c>
      <c r="T79" s="53">
        <f>D79</f>
        <v>607.01910038415394</v>
      </c>
      <c r="U79" s="157">
        <f t="shared" si="50"/>
        <v>1.0570593075200005</v>
      </c>
      <c r="V79" s="57">
        <f>F79/2</f>
        <v>0.22175999999999996</v>
      </c>
      <c r="W79" s="52">
        <f>V79*T79</f>
        <v>134.61255570118996</v>
      </c>
      <c r="X79" s="60">
        <f>X80</f>
        <v>0.02</v>
      </c>
      <c r="Y79" s="71">
        <f>X79*W79*1000000</f>
        <v>2692251.1140237995</v>
      </c>
      <c r="AE79" s="40"/>
    </row>
    <row r="80" spans="2:33" x14ac:dyDescent="0.35">
      <c r="B80" s="35"/>
      <c r="C80" s="63" t="s">
        <v>274</v>
      </c>
      <c r="D80" s="53">
        <f>' TAM &amp; SOM'!L21</f>
        <v>1943.1530370738292</v>
      </c>
      <c r="E80" s="157">
        <v>0.6</v>
      </c>
      <c r="F80" s="58">
        <f t="shared" si="52"/>
        <v>0.43930075463679996</v>
      </c>
      <c r="G80" s="307">
        <f t="shared" si="48"/>
        <v>853.62859556132287</v>
      </c>
      <c r="H80" s="60">
        <f>H78</f>
        <v>7.4999999999999997E-2</v>
      </c>
      <c r="I80" s="300">
        <f t="shared" ref="I80:I85" si="53">H80*G80*1000000</f>
        <v>64022144.667099215</v>
      </c>
      <c r="K80"/>
      <c r="M80" s="30"/>
      <c r="O80" s="82"/>
      <c r="Q80" s="298"/>
      <c r="R80" s="176"/>
      <c r="S80" s="63" t="s">
        <v>274</v>
      </c>
      <c r="T80" s="53">
        <f t="shared" si="49"/>
        <v>1943.1530370738292</v>
      </c>
      <c r="U80" s="157">
        <f t="shared" si="50"/>
        <v>0.78679418750000019</v>
      </c>
      <c r="V80" s="57">
        <f t="shared" si="51"/>
        <v>0.21965037731839998</v>
      </c>
      <c r="W80" s="52">
        <f t="shared" ref="W80:W85" si="54">V80*T80</f>
        <v>426.81429778066143</v>
      </c>
      <c r="X80" s="60">
        <f>X78</f>
        <v>0.02</v>
      </c>
      <c r="Y80" s="71">
        <f t="shared" ref="Y80:Y85" si="55">X80*W80*1000000</f>
        <v>8536285.9556132294</v>
      </c>
      <c r="AE80" s="40"/>
    </row>
    <row r="81" spans="1:37" x14ac:dyDescent="0.35">
      <c r="B81" s="35"/>
      <c r="C81" s="64" t="s">
        <v>58</v>
      </c>
      <c r="D81" s="53">
        <f>' TAM &amp; SOM'!L22</f>
        <v>8378.0342914346602</v>
      </c>
      <c r="E81" s="157">
        <v>1</v>
      </c>
      <c r="F81" s="58">
        <f t="shared" si="52"/>
        <v>0.13104000000000002</v>
      </c>
      <c r="G81" s="307">
        <f t="shared" si="48"/>
        <v>1097.857613549598</v>
      </c>
      <c r="H81" s="60">
        <f>H79</f>
        <v>7.4999999999999997E-2</v>
      </c>
      <c r="I81" s="300">
        <f t="shared" si="53"/>
        <v>82339321.016219839</v>
      </c>
      <c r="K81"/>
      <c r="M81" s="30"/>
      <c r="O81" s="82"/>
      <c r="Q81" s="298"/>
      <c r="R81" s="176"/>
      <c r="S81" s="64" t="s">
        <v>58</v>
      </c>
      <c r="T81" s="53">
        <f t="shared" si="49"/>
        <v>8378.0342914346602</v>
      </c>
      <c r="U81" s="157">
        <f t="shared" si="50"/>
        <v>0.7867941875000003</v>
      </c>
      <c r="V81" s="57">
        <f t="shared" si="51"/>
        <v>6.5520000000000009E-2</v>
      </c>
      <c r="W81" s="52">
        <f t="shared" si="54"/>
        <v>548.928806774799</v>
      </c>
      <c r="X81" s="60">
        <f>X79</f>
        <v>0.02</v>
      </c>
      <c r="Y81" s="71">
        <f t="shared" si="55"/>
        <v>10978576.135495981</v>
      </c>
      <c r="AE81" s="40"/>
    </row>
    <row r="82" spans="1:37" x14ac:dyDescent="0.35">
      <c r="B82" s="42"/>
      <c r="C82" s="64" t="s">
        <v>62</v>
      </c>
      <c r="D82" s="53">
        <f>' TAM &amp; SOM'!L23</f>
        <v>264.42958623046883</v>
      </c>
      <c r="E82" s="157">
        <v>1</v>
      </c>
      <c r="F82" s="58">
        <f t="shared" si="52"/>
        <v>4.9503999999999999E-2</v>
      </c>
      <c r="G82" s="307">
        <f t="shared" si="48"/>
        <v>13.09032223675313</v>
      </c>
      <c r="H82" s="60">
        <f t="shared" ref="H82:H85" si="56">H81</f>
        <v>7.4999999999999997E-2</v>
      </c>
      <c r="I82" s="300">
        <f t="shared" si="53"/>
        <v>981774.16775648459</v>
      </c>
      <c r="K82"/>
      <c r="M82" s="30"/>
      <c r="O82" s="82"/>
      <c r="Q82" s="298"/>
      <c r="R82" s="177"/>
      <c r="S82" s="64" t="s">
        <v>62</v>
      </c>
      <c r="T82" s="53">
        <f t="shared" si="49"/>
        <v>264.42958623046883</v>
      </c>
      <c r="U82" s="157">
        <f t="shared" si="50"/>
        <v>0.78679418750000019</v>
      </c>
      <c r="V82" s="57">
        <f t="shared" si="51"/>
        <v>2.4752E-2</v>
      </c>
      <c r="W82" s="52">
        <f t="shared" si="54"/>
        <v>6.5451611183765648</v>
      </c>
      <c r="X82" s="60">
        <f t="shared" ref="X82:X85" si="57">X81</f>
        <v>0.02</v>
      </c>
      <c r="Y82" s="71">
        <f t="shared" si="55"/>
        <v>130903.2223675313</v>
      </c>
      <c r="AE82" s="40"/>
    </row>
    <row r="83" spans="1:37" x14ac:dyDescent="0.35">
      <c r="B83" s="35"/>
      <c r="C83" s="64" t="s">
        <v>204</v>
      </c>
      <c r="D83" s="53">
        <f>' TAM &amp; SOM'!L24</f>
        <v>2277.8275651523445</v>
      </c>
      <c r="E83" s="157">
        <v>0.75</v>
      </c>
      <c r="F83" s="58">
        <f t="shared" si="52"/>
        <v>0.18375</v>
      </c>
      <c r="G83" s="307">
        <f t="shared" si="48"/>
        <v>418.55081509674329</v>
      </c>
      <c r="H83" s="60">
        <f t="shared" si="56"/>
        <v>7.4999999999999997E-2</v>
      </c>
      <c r="I83" s="300">
        <f t="shared" si="53"/>
        <v>31391311.132255744</v>
      </c>
      <c r="K83"/>
      <c r="M83" s="30"/>
      <c r="O83" s="82"/>
      <c r="Q83" s="298"/>
      <c r="R83" s="176"/>
      <c r="S83" s="64" t="s">
        <v>204</v>
      </c>
      <c r="T83" s="53">
        <f t="shared" si="49"/>
        <v>2277.8275651523445</v>
      </c>
      <c r="U83" s="157">
        <f t="shared" si="50"/>
        <v>0.7867941875000003</v>
      </c>
      <c r="V83" s="57">
        <f t="shared" si="51"/>
        <v>9.1874999999999998E-2</v>
      </c>
      <c r="W83" s="52">
        <f t="shared" si="54"/>
        <v>209.27540754837165</v>
      </c>
      <c r="X83" s="60">
        <f t="shared" si="57"/>
        <v>0.02</v>
      </c>
      <c r="Y83" s="71">
        <f t="shared" si="55"/>
        <v>4185508.1509674327</v>
      </c>
      <c r="AE83" s="40"/>
    </row>
    <row r="84" spans="1:37" x14ac:dyDescent="0.35">
      <c r="B84" s="35"/>
      <c r="C84" s="64" t="s">
        <v>207</v>
      </c>
      <c r="D84" s="53">
        <f>' TAM &amp; SOM'!L25</f>
        <v>104.52745996875002</v>
      </c>
      <c r="E84" s="157">
        <v>1</v>
      </c>
      <c r="F84" s="58">
        <f t="shared" si="52"/>
        <v>0.384384</v>
      </c>
      <c r="G84" s="307">
        <f t="shared" si="48"/>
        <v>40.178683172628006</v>
      </c>
      <c r="H84" s="60">
        <f t="shared" si="56"/>
        <v>7.4999999999999997E-2</v>
      </c>
      <c r="I84" s="300">
        <f t="shared" si="53"/>
        <v>3013401.2379471003</v>
      </c>
      <c r="K84"/>
      <c r="M84" s="30"/>
      <c r="O84" s="82"/>
      <c r="Q84" s="298"/>
      <c r="R84" s="176"/>
      <c r="S84" s="64" t="s">
        <v>207</v>
      </c>
      <c r="T84" s="53">
        <f t="shared" si="49"/>
        <v>104.52745996875002</v>
      </c>
      <c r="U84" s="157">
        <f t="shared" si="50"/>
        <v>0.78679418749999985</v>
      </c>
      <c r="V84" s="57">
        <f t="shared" si="51"/>
        <v>0.192192</v>
      </c>
      <c r="W84" s="52">
        <f t="shared" si="54"/>
        <v>20.089341586314003</v>
      </c>
      <c r="X84" s="60">
        <f t="shared" si="57"/>
        <v>0.02</v>
      </c>
      <c r="Y84" s="71">
        <f t="shared" si="55"/>
        <v>401786.83172628004</v>
      </c>
    </row>
    <row r="85" spans="1:37" x14ac:dyDescent="0.35">
      <c r="B85" s="35"/>
      <c r="C85" s="64" t="s">
        <v>215</v>
      </c>
      <c r="D85" s="53">
        <f>' TAM &amp; SOM'!L26</f>
        <v>8226.8337368404718</v>
      </c>
      <c r="E85" s="157">
        <v>0.5</v>
      </c>
      <c r="F85" s="58">
        <f t="shared" si="52"/>
        <v>6.3503999999999991E-2</v>
      </c>
      <c r="G85" s="307">
        <f t="shared" si="48"/>
        <v>522.43684962431723</v>
      </c>
      <c r="H85" s="60">
        <f t="shared" si="56"/>
        <v>7.4999999999999997E-2</v>
      </c>
      <c r="I85" s="300">
        <f t="shared" si="53"/>
        <v>39182763.721823789</v>
      </c>
      <c r="K85"/>
      <c r="M85" s="30"/>
      <c r="O85" s="82"/>
      <c r="Q85" s="298"/>
      <c r="R85" s="176"/>
      <c r="S85" s="64" t="s">
        <v>215</v>
      </c>
      <c r="T85" s="53">
        <f t="shared" si="49"/>
        <v>8226.8337368404718</v>
      </c>
      <c r="U85" s="157">
        <f t="shared" si="50"/>
        <v>0.78679418750000008</v>
      </c>
      <c r="V85" s="57">
        <f t="shared" si="51"/>
        <v>3.1751999999999996E-2</v>
      </c>
      <c r="W85" s="52">
        <f t="shared" si="54"/>
        <v>261.21842481215862</v>
      </c>
      <c r="X85" s="60">
        <f t="shared" si="57"/>
        <v>0.02</v>
      </c>
      <c r="Y85" s="71">
        <f t="shared" si="55"/>
        <v>5224368.4962431723</v>
      </c>
    </row>
    <row r="86" spans="1:37" ht="15" thickBot="1" x14ac:dyDescent="0.4">
      <c r="B86" s="35"/>
      <c r="C86" s="64" t="s">
        <v>229</v>
      </c>
      <c r="D86" s="53"/>
      <c r="E86" s="157">
        <f>SUM(E78:E85)/8</f>
        <v>0.71250000000000002</v>
      </c>
      <c r="F86" s="58"/>
      <c r="G86" s="307"/>
      <c r="H86" s="60"/>
      <c r="I86" s="300"/>
      <c r="K86"/>
      <c r="M86" s="30"/>
      <c r="O86" s="82"/>
      <c r="Q86" s="298"/>
      <c r="R86" s="176"/>
      <c r="S86" s="65" t="str">
        <f>S74</f>
        <v>T.Revenue</v>
      </c>
      <c r="T86" s="66"/>
      <c r="U86" s="88"/>
      <c r="V86" s="67"/>
      <c r="W86" s="66"/>
      <c r="X86" s="28"/>
      <c r="Y86" s="70">
        <f>SUM(Y78:Y84)</f>
        <v>27261012.780137412</v>
      </c>
    </row>
    <row r="87" spans="1:37" x14ac:dyDescent="0.35">
      <c r="B87" s="35"/>
      <c r="C87" s="64" t="s">
        <v>257</v>
      </c>
      <c r="D87" s="53">
        <f>SUM(D78:D85)</f>
        <v>22099.491314109677</v>
      </c>
      <c r="E87" s="157"/>
      <c r="F87" s="58"/>
      <c r="G87" s="307">
        <f>SUM(G78:G85)</f>
        <v>3248.5381276380585</v>
      </c>
      <c r="H87" s="60"/>
      <c r="I87" s="300"/>
      <c r="K87"/>
      <c r="M87" s="30"/>
      <c r="O87" s="82"/>
      <c r="Q87" s="298"/>
      <c r="R87" s="176"/>
      <c r="S87" s="29"/>
      <c r="T87" s="38"/>
      <c r="V87" s="50"/>
      <c r="W87" s="38"/>
      <c r="Y87" s="100"/>
    </row>
    <row r="88" spans="1:37" ht="15" thickBot="1" x14ac:dyDescent="0.4">
      <c r="B88" s="35"/>
      <c r="C88" s="65" t="s">
        <v>116</v>
      </c>
      <c r="D88" s="66"/>
      <c r="E88" s="88"/>
      <c r="F88" s="186"/>
      <c r="G88" s="90"/>
      <c r="H88" s="28"/>
      <c r="I88" s="302">
        <f>SUM(I78:I84)</f>
        <v>204457595.85103056</v>
      </c>
      <c r="K88"/>
      <c r="M88" s="30"/>
      <c r="O88" s="82"/>
      <c r="Q88" s="298"/>
      <c r="R88" s="176"/>
    </row>
    <row r="89" spans="1:37" s="173" customFormat="1" ht="15" thickBot="1" x14ac:dyDescent="0.4">
      <c r="A89" s="176"/>
      <c r="B89" s="101"/>
      <c r="E89" s="180"/>
      <c r="F89" s="330"/>
      <c r="G89" s="181"/>
      <c r="I89" s="261"/>
      <c r="M89" s="180"/>
      <c r="N89" s="330"/>
      <c r="O89" s="181"/>
      <c r="Q89" s="304"/>
      <c r="S89" s="101" t="s">
        <v>147</v>
      </c>
      <c r="U89" s="180"/>
      <c r="AA89" s="182"/>
      <c r="AC89" s="180"/>
    </row>
    <row r="90" spans="1:37" s="173" customFormat="1" ht="15" customHeight="1" x14ac:dyDescent="0.35">
      <c r="A90" s="35"/>
      <c r="B90" s="266"/>
      <c r="C90"/>
      <c r="D90"/>
      <c r="E90"/>
      <c r="F90" s="191"/>
      <c r="G90"/>
      <c r="H90"/>
      <c r="I90"/>
      <c r="J90"/>
      <c r="K90"/>
      <c r="L90"/>
      <c r="M90"/>
      <c r="N90" s="191"/>
      <c r="O90"/>
      <c r="P90"/>
      <c r="Q90" s="298"/>
      <c r="S90" s="376" t="s">
        <v>149</v>
      </c>
      <c r="T90" s="377"/>
      <c r="U90" s="377"/>
      <c r="V90" s="377"/>
      <c r="W90" s="377"/>
      <c r="X90" s="377"/>
      <c r="Y90" s="378"/>
      <c r="Z90" s="61"/>
      <c r="AA90" s="376" t="s">
        <v>228</v>
      </c>
      <c r="AB90" s="377"/>
      <c r="AC90" s="377"/>
      <c r="AD90" s="377"/>
      <c r="AE90" s="377"/>
      <c r="AF90" s="377"/>
      <c r="AG90" s="378"/>
      <c r="AH90"/>
      <c r="AI90"/>
      <c r="AJ90"/>
      <c r="AK90"/>
    </row>
    <row r="91" spans="1:37" s="173" customFormat="1" x14ac:dyDescent="0.35">
      <c r="A91" s="35"/>
      <c r="B91" s="267"/>
      <c r="C91"/>
      <c r="D91"/>
      <c r="E91"/>
      <c r="F91" s="191"/>
      <c r="G91"/>
      <c r="H91"/>
      <c r="I91"/>
      <c r="J91"/>
      <c r="K91"/>
      <c r="L91"/>
      <c r="M91"/>
      <c r="N91" s="191"/>
      <c r="O91"/>
      <c r="P91"/>
      <c r="Q91" s="298"/>
      <c r="S91" s="62"/>
      <c r="T91" s="45" t="s">
        <v>284</v>
      </c>
      <c r="U91" s="32" t="s">
        <v>226</v>
      </c>
      <c r="V91" s="49" t="s">
        <v>145</v>
      </c>
      <c r="W91" s="159" t="s">
        <v>83</v>
      </c>
      <c r="X91" s="32" t="s">
        <v>143</v>
      </c>
      <c r="Y91" s="257" t="s">
        <v>110</v>
      </c>
      <c r="Z91" s="55"/>
      <c r="AA91" s="62"/>
      <c r="AB91" s="45" t="s">
        <v>284</v>
      </c>
      <c r="AC91" s="32" t="s">
        <v>226</v>
      </c>
      <c r="AD91" s="49" t="s">
        <v>145</v>
      </c>
      <c r="AE91" s="159" t="s">
        <v>83</v>
      </c>
      <c r="AF91" s="32" t="s">
        <v>144</v>
      </c>
      <c r="AG91" s="257" t="s">
        <v>110</v>
      </c>
      <c r="AH91"/>
      <c r="AI91"/>
      <c r="AJ91"/>
      <c r="AK91"/>
    </row>
    <row r="92" spans="1:37" s="173" customFormat="1" x14ac:dyDescent="0.35">
      <c r="A92" s="35"/>
      <c r="B92"/>
      <c r="C92"/>
      <c r="D92"/>
      <c r="E92"/>
      <c r="F92" s="191"/>
      <c r="G92"/>
      <c r="H92"/>
      <c r="I92"/>
      <c r="J92"/>
      <c r="K92"/>
      <c r="L92"/>
      <c r="M92"/>
      <c r="N92" s="191"/>
      <c r="O92"/>
      <c r="P92"/>
      <c r="Q92" s="298"/>
      <c r="S92" s="63" t="s">
        <v>273</v>
      </c>
      <c r="T92" s="53">
        <f>D39</f>
        <v>168.02500000000001</v>
      </c>
      <c r="U92" s="157"/>
      <c r="V92" s="50">
        <v>5.0000000000000001E-3</v>
      </c>
      <c r="W92" s="82">
        <f>V92*T92</f>
        <v>0.84012500000000001</v>
      </c>
      <c r="X92" s="11">
        <v>1.7500000000000002E-2</v>
      </c>
      <c r="Y92" s="264">
        <f>X92*W92*1000000</f>
        <v>14702.187500000002</v>
      </c>
      <c r="Z92"/>
      <c r="AA92" s="63" t="s">
        <v>273</v>
      </c>
      <c r="AB92" s="53">
        <f>L39</f>
        <v>184.82750000000001</v>
      </c>
      <c r="AC92" s="157">
        <f>(AE92-W92)/W92</f>
        <v>16.943750000000001</v>
      </c>
      <c r="AD92" s="57">
        <f>N39*1.5</f>
        <v>8.156250000000001E-2</v>
      </c>
      <c r="AE92" s="83">
        <f>AD92*AB92</f>
        <v>15.074992968750003</v>
      </c>
      <c r="AF92" s="58">
        <v>1.7500000000000002E-2</v>
      </c>
      <c r="AG92" s="258">
        <f>AF92*AE92*1000000</f>
        <v>263812.37695312512</v>
      </c>
      <c r="AH92"/>
      <c r="AI92"/>
      <c r="AJ92"/>
      <c r="AK92"/>
    </row>
    <row r="93" spans="1:37" s="173" customFormat="1" ht="15.75" customHeight="1" x14ac:dyDescent="0.35">
      <c r="A93" s="35"/>
      <c r="B93" s="42"/>
      <c r="C93"/>
      <c r="D93"/>
      <c r="E93"/>
      <c r="F93" s="191"/>
      <c r="G93"/>
      <c r="H93"/>
      <c r="I93"/>
      <c r="J93"/>
      <c r="K93"/>
      <c r="L93"/>
      <c r="M93"/>
      <c r="N93" s="191"/>
      <c r="O93"/>
      <c r="P93"/>
      <c r="Q93" s="298"/>
      <c r="S93" s="63" t="s">
        <v>274</v>
      </c>
      <c r="T93" s="53">
        <f>D41</f>
        <v>1450.0107142857146</v>
      </c>
      <c r="U93" s="157"/>
      <c r="V93" s="50">
        <v>1E-3</v>
      </c>
      <c r="W93" s="82">
        <f t="shared" ref="W93:W99" si="58">V93*T93</f>
        <v>1.4500107142857146</v>
      </c>
      <c r="X93" s="11">
        <v>1.7500000000000002E-2</v>
      </c>
      <c r="Y93" s="265"/>
      <c r="Z93" s="42"/>
      <c r="AA93" s="63" t="s">
        <v>274</v>
      </c>
      <c r="AB93" s="53">
        <f>L41</f>
        <v>1522.5112500000005</v>
      </c>
      <c r="AC93" s="157">
        <f t="shared" ref="AC93" si="59">(AE93-W93)/W93</f>
        <v>30.5</v>
      </c>
      <c r="AD93" s="57">
        <f>N41*1.5</f>
        <v>0.03</v>
      </c>
      <c r="AE93" s="83">
        <f t="shared" ref="AE93:AE99" si="60">AD93*AB93</f>
        <v>45.675337500000012</v>
      </c>
      <c r="AF93" s="60">
        <v>1.7500000000000002E-2</v>
      </c>
      <c r="AG93" s="258">
        <f t="shared" ref="AG93:AG99" si="61">AF93*AE93*1000000</f>
        <v>799318.40625000023</v>
      </c>
      <c r="AH93"/>
      <c r="AI93"/>
      <c r="AJ93"/>
      <c r="AK93"/>
    </row>
    <row r="94" spans="1:37" s="173" customFormat="1" x14ac:dyDescent="0.35">
      <c r="A94" s="35"/>
      <c r="B94" s="36"/>
      <c r="C94"/>
      <c r="D94"/>
      <c r="E94"/>
      <c r="F94" s="191"/>
      <c r="G94"/>
      <c r="H94"/>
      <c r="I94"/>
      <c r="J94"/>
      <c r="K94"/>
      <c r="L94"/>
      <c r="M94"/>
      <c r="N94" s="191"/>
      <c r="O94"/>
      <c r="P94"/>
      <c r="Q94" s="298"/>
      <c r="S94" s="64" t="s">
        <v>35</v>
      </c>
      <c r="T94" s="53">
        <f>D40</f>
        <v>382.52500000000009</v>
      </c>
      <c r="U94" s="157"/>
      <c r="V94" s="50">
        <v>0</v>
      </c>
      <c r="W94" s="82">
        <f t="shared" si="58"/>
        <v>0</v>
      </c>
      <c r="X94" s="11">
        <v>1.7500000000000002E-2</v>
      </c>
      <c r="Y94" s="265"/>
      <c r="Z94" s="36"/>
      <c r="AA94" s="64" t="s">
        <v>35</v>
      </c>
      <c r="AB94" s="53">
        <f>L40</f>
        <v>413.12700000000012</v>
      </c>
      <c r="AC94" s="157">
        <v>0</v>
      </c>
      <c r="AD94" s="57">
        <f>N40*1.5</f>
        <v>1.4999999999999999E-2</v>
      </c>
      <c r="AE94" s="83">
        <f t="shared" si="60"/>
        <v>6.1969050000000019</v>
      </c>
      <c r="AF94" s="60">
        <v>1.7500000000000002E-2</v>
      </c>
      <c r="AG94" s="258">
        <f t="shared" si="61"/>
        <v>108445.83750000004</v>
      </c>
      <c r="AH94"/>
      <c r="AI94"/>
      <c r="AJ94"/>
      <c r="AK94"/>
    </row>
    <row r="95" spans="1:37" s="173" customFormat="1" x14ac:dyDescent="0.35">
      <c r="A95" s="35"/>
      <c r="B95" s="35"/>
      <c r="C95"/>
      <c r="D95"/>
      <c r="E95"/>
      <c r="F95" s="191"/>
      <c r="G95"/>
      <c r="H95"/>
      <c r="I95"/>
      <c r="J95"/>
      <c r="K95"/>
      <c r="L95"/>
      <c r="M95"/>
      <c r="N95" s="191"/>
      <c r="O95"/>
      <c r="P95"/>
      <c r="Q95" s="298"/>
      <c r="S95" s="64" t="s">
        <v>58</v>
      </c>
      <c r="T95" s="53">
        <f>D42</f>
        <v>6251.8181818181811</v>
      </c>
      <c r="U95" s="157"/>
      <c r="V95" s="50">
        <f>F42*1.5</f>
        <v>0</v>
      </c>
      <c r="W95" s="82">
        <f t="shared" si="58"/>
        <v>0</v>
      </c>
      <c r="X95" s="11">
        <v>1.7500000000000002E-2</v>
      </c>
      <c r="Y95" s="265"/>
      <c r="Z95" s="35"/>
      <c r="AA95" s="64" t="s">
        <v>58</v>
      </c>
      <c r="AB95" s="53">
        <f>L42</f>
        <v>6564.4090909090901</v>
      </c>
      <c r="AC95" s="157">
        <v>0</v>
      </c>
      <c r="AD95" s="57">
        <f>N42*1.5</f>
        <v>1.4999999999999999E-2</v>
      </c>
      <c r="AE95" s="83">
        <f t="shared" si="60"/>
        <v>98.466136363636352</v>
      </c>
      <c r="AF95" s="60">
        <v>1.7500000000000002E-2</v>
      </c>
      <c r="AG95" s="258">
        <f t="shared" si="61"/>
        <v>1723157.3863636362</v>
      </c>
      <c r="AH95"/>
      <c r="AI95"/>
      <c r="AJ95"/>
      <c r="AK95"/>
    </row>
    <row r="96" spans="1:37" s="173" customFormat="1" x14ac:dyDescent="0.35">
      <c r="A96" s="35"/>
      <c r="B96" s="36"/>
      <c r="C96"/>
      <c r="D96"/>
      <c r="E96"/>
      <c r="F96" s="191"/>
      <c r="G96"/>
      <c r="H96"/>
      <c r="I96"/>
      <c r="J96"/>
      <c r="K96"/>
      <c r="L96"/>
      <c r="M96"/>
      <c r="N96" s="191"/>
      <c r="O96"/>
      <c r="P96"/>
      <c r="Q96" s="298"/>
      <c r="S96" s="64" t="s">
        <v>62</v>
      </c>
      <c r="T96" s="53">
        <f>D43</f>
        <v>197.32142857142858</v>
      </c>
      <c r="U96" s="157"/>
      <c r="V96" s="50">
        <f>F43*1.5</f>
        <v>0</v>
      </c>
      <c r="W96" s="82">
        <f t="shared" si="58"/>
        <v>0</v>
      </c>
      <c r="X96" s="11">
        <v>1.7500000000000002E-2</v>
      </c>
      <c r="Y96" s="265"/>
      <c r="Z96" s="36"/>
      <c r="AA96" s="64" t="s">
        <v>62</v>
      </c>
      <c r="AB96" s="53">
        <f>L43</f>
        <v>207.18750000000003</v>
      </c>
      <c r="AC96" s="157">
        <v>0</v>
      </c>
      <c r="AD96" s="57">
        <f>N43*1.5</f>
        <v>7.4999999999999997E-3</v>
      </c>
      <c r="AE96" s="83">
        <f t="shared" si="60"/>
        <v>1.5539062500000003</v>
      </c>
      <c r="AF96" s="60">
        <v>1.7500000000000002E-2</v>
      </c>
      <c r="AG96" s="258">
        <f t="shared" si="61"/>
        <v>27193.359375000007</v>
      </c>
      <c r="AH96"/>
      <c r="AI96"/>
      <c r="AJ96"/>
      <c r="AK96"/>
    </row>
    <row r="97" spans="1:37" s="173" customFormat="1" x14ac:dyDescent="0.35">
      <c r="A97" s="35"/>
      <c r="B97" s="36"/>
      <c r="C97"/>
      <c r="D97"/>
      <c r="E97"/>
      <c r="F97" s="191"/>
      <c r="G97"/>
      <c r="H97"/>
      <c r="I97"/>
      <c r="J97"/>
      <c r="K97"/>
      <c r="L97"/>
      <c r="M97"/>
      <c r="N97" s="191"/>
      <c r="O97"/>
      <c r="P97"/>
      <c r="Q97" s="298"/>
      <c r="S97" s="64" t="s">
        <v>204</v>
      </c>
      <c r="T97" s="53">
        <f>D44</f>
        <v>1699.75</v>
      </c>
      <c r="U97" s="157"/>
      <c r="V97" s="50">
        <f>F44*1.5</f>
        <v>0</v>
      </c>
      <c r="W97" s="82">
        <f t="shared" si="58"/>
        <v>0</v>
      </c>
      <c r="X97" s="11">
        <v>1.7500000000000002E-2</v>
      </c>
      <c r="Y97" s="265"/>
      <c r="Z97" s="36"/>
      <c r="AA97" s="64" t="s">
        <v>204</v>
      </c>
      <c r="AB97" s="53">
        <f>L44</f>
        <v>1784.7375000000002</v>
      </c>
      <c r="AC97" s="157">
        <v>0</v>
      </c>
      <c r="AD97" s="57">
        <f>N44*1.5</f>
        <v>1.4999999999999999E-2</v>
      </c>
      <c r="AE97" s="83">
        <f t="shared" si="60"/>
        <v>26.771062500000003</v>
      </c>
      <c r="AF97" s="60">
        <v>1.7500000000000002E-2</v>
      </c>
      <c r="AG97" s="258">
        <f t="shared" si="61"/>
        <v>468493.59375000012</v>
      </c>
      <c r="AH97"/>
      <c r="AI97"/>
      <c r="AJ97"/>
      <c r="AK97"/>
    </row>
    <row r="98" spans="1:37" s="173" customFormat="1" x14ac:dyDescent="0.35">
      <c r="A98" s="35"/>
      <c r="B98" s="36"/>
      <c r="C98"/>
      <c r="D98"/>
      <c r="E98"/>
      <c r="F98" s="191"/>
      <c r="G98"/>
      <c r="H98"/>
      <c r="I98"/>
      <c r="J98"/>
      <c r="K98"/>
      <c r="L98"/>
      <c r="M98"/>
      <c r="N98" s="191"/>
      <c r="O98"/>
      <c r="P98"/>
      <c r="Q98" s="298"/>
      <c r="S98" s="64" t="s">
        <v>207</v>
      </c>
      <c r="T98" s="53">
        <f>D45</f>
        <v>78</v>
      </c>
      <c r="U98" s="157"/>
      <c r="V98" s="50">
        <f>F45*1.5</f>
        <v>0</v>
      </c>
      <c r="W98" s="82">
        <f t="shared" si="58"/>
        <v>0</v>
      </c>
      <c r="X98" s="11">
        <v>1.7500000000000002E-2</v>
      </c>
      <c r="Y98" s="265"/>
      <c r="Z98" s="36"/>
      <c r="AA98" s="64" t="s">
        <v>207</v>
      </c>
      <c r="AB98" s="53">
        <f>L45</f>
        <v>81.900000000000006</v>
      </c>
      <c r="AC98" s="157">
        <v>0</v>
      </c>
      <c r="AD98" s="57">
        <f>N45*1.5</f>
        <v>4.4999999999999998E-2</v>
      </c>
      <c r="AE98" s="83">
        <f t="shared" si="60"/>
        <v>3.6855000000000002</v>
      </c>
      <c r="AF98" s="60">
        <v>1.7500000000000002E-2</v>
      </c>
      <c r="AG98" s="258">
        <f t="shared" si="61"/>
        <v>64496.250000000007</v>
      </c>
      <c r="AH98"/>
      <c r="AI98"/>
      <c r="AJ98"/>
      <c r="AK98"/>
    </row>
    <row r="99" spans="1:37" s="173" customFormat="1" x14ac:dyDescent="0.35">
      <c r="A99" s="35"/>
      <c r="B99" s="36"/>
      <c r="C99"/>
      <c r="D99"/>
      <c r="E99"/>
      <c r="F99" s="191"/>
      <c r="G99"/>
      <c r="H99"/>
      <c r="I99"/>
      <c r="J99"/>
      <c r="K99"/>
      <c r="L99"/>
      <c r="M99"/>
      <c r="N99" s="191"/>
      <c r="O99"/>
      <c r="P99"/>
      <c r="Q99" s="298"/>
      <c r="S99" s="64" t="s">
        <v>215</v>
      </c>
      <c r="T99" s="53">
        <f>D46</f>
        <v>6138.9900000000007</v>
      </c>
      <c r="U99" s="157"/>
      <c r="V99" s="50">
        <f>F46*1.5</f>
        <v>0</v>
      </c>
      <c r="W99" s="82">
        <f t="shared" si="58"/>
        <v>0</v>
      </c>
      <c r="X99" s="11">
        <v>1.7500000000000002E-2</v>
      </c>
      <c r="Y99" s="265"/>
      <c r="Z99" s="36"/>
      <c r="AA99" s="64" t="s">
        <v>215</v>
      </c>
      <c r="AB99" s="53">
        <f>L46</f>
        <v>6445.9395000000013</v>
      </c>
      <c r="AC99" s="157">
        <v>0</v>
      </c>
      <c r="AD99" s="57">
        <f>N46*1.5</f>
        <v>1.4999999999999999E-2</v>
      </c>
      <c r="AE99" s="83">
        <f t="shared" si="60"/>
        <v>96.689092500000015</v>
      </c>
      <c r="AF99" s="60">
        <v>1.7500000000000002E-2</v>
      </c>
      <c r="AG99" s="258">
        <f t="shared" si="61"/>
        <v>1692059.1187500004</v>
      </c>
      <c r="AH99"/>
      <c r="AI99"/>
      <c r="AJ99"/>
      <c r="AK99"/>
    </row>
    <row r="100" spans="1:37" s="173" customFormat="1" ht="15" thickBot="1" x14ac:dyDescent="0.4">
      <c r="A100" s="35"/>
      <c r="B100" s="36"/>
      <c r="C100"/>
      <c r="D100"/>
      <c r="E100"/>
      <c r="F100" s="191"/>
      <c r="G100"/>
      <c r="H100"/>
      <c r="I100"/>
      <c r="J100"/>
      <c r="K100"/>
      <c r="L100"/>
      <c r="M100"/>
      <c r="N100" s="191"/>
      <c r="O100"/>
      <c r="P100"/>
      <c r="Q100" s="298"/>
      <c r="S100" s="65" t="s">
        <v>116</v>
      </c>
      <c r="T100" s="66"/>
      <c r="U100" s="88"/>
      <c r="V100" s="67"/>
      <c r="W100" s="90"/>
      <c r="X100" s="28"/>
      <c r="Y100" s="259">
        <f>SUM(Y92:Y98)</f>
        <v>14702.187500000002</v>
      </c>
      <c r="Z100" s="36"/>
      <c r="AA100" s="65" t="s">
        <v>116</v>
      </c>
      <c r="AB100" s="66"/>
      <c r="AC100" s="88"/>
      <c r="AD100" s="67"/>
      <c r="AE100" s="90"/>
      <c r="AF100" s="28"/>
      <c r="AG100" s="259">
        <f>SUM(AG92:AG99)</f>
        <v>5146976.3289417624</v>
      </c>
      <c r="AH100"/>
      <c r="AI100"/>
      <c r="AJ100"/>
      <c r="AK100"/>
    </row>
    <row r="101" spans="1:37" s="173" customFormat="1" ht="15" thickBot="1" x14ac:dyDescent="0.4">
      <c r="A101" s="35"/>
      <c r="B101" s="268"/>
      <c r="C101"/>
      <c r="D101"/>
      <c r="E101"/>
      <c r="F101" s="191"/>
      <c r="G101"/>
      <c r="H101"/>
      <c r="I101"/>
      <c r="J101"/>
      <c r="K101"/>
      <c r="L101"/>
      <c r="M101"/>
      <c r="N101" s="191"/>
      <c r="O101"/>
      <c r="P101"/>
      <c r="Q101" s="298"/>
      <c r="S101" s="29"/>
      <c r="T101" s="38"/>
      <c r="U101" s="30"/>
      <c r="V101" s="50"/>
      <c r="W101" s="82"/>
      <c r="X101" s="37"/>
      <c r="Y101" s="252"/>
      <c r="Z101" s="36"/>
      <c r="AA101" s="29"/>
      <c r="AB101" s="11"/>
      <c r="AC101" s="30"/>
      <c r="AD101" s="37"/>
      <c r="AE101" s="82"/>
      <c r="AF101" s="38"/>
      <c r="AG101" s="252"/>
      <c r="AH101"/>
      <c r="AI101"/>
      <c r="AJ101"/>
      <c r="AK101"/>
    </row>
    <row r="102" spans="1:37" s="173" customFormat="1" x14ac:dyDescent="0.35">
      <c r="A102" s="35"/>
      <c r="B102"/>
      <c r="C102"/>
      <c r="D102"/>
      <c r="E102"/>
      <c r="F102" s="191"/>
      <c r="G102"/>
      <c r="H102"/>
      <c r="I102"/>
      <c r="J102"/>
      <c r="K102"/>
      <c r="L102"/>
      <c r="M102"/>
      <c r="N102" s="191"/>
      <c r="O102"/>
      <c r="P102"/>
      <c r="Q102" s="298"/>
      <c r="S102" s="376" t="s">
        <v>81</v>
      </c>
      <c r="T102" s="377"/>
      <c r="U102" s="377"/>
      <c r="V102" s="377"/>
      <c r="W102" s="377"/>
      <c r="X102" s="377"/>
      <c r="Y102" s="378"/>
      <c r="Z102" s="36"/>
      <c r="AA102" s="376" t="s">
        <v>84</v>
      </c>
      <c r="AB102" s="377"/>
      <c r="AC102" s="377"/>
      <c r="AD102" s="377"/>
      <c r="AE102" s="377"/>
      <c r="AF102" s="377"/>
      <c r="AG102" s="378"/>
      <c r="AH102"/>
      <c r="AI102"/>
      <c r="AJ102"/>
      <c r="AK102"/>
    </row>
    <row r="103" spans="1:37" s="173" customFormat="1" x14ac:dyDescent="0.35">
      <c r="A103" s="35"/>
      <c r="B103"/>
      <c r="C103"/>
      <c r="D103"/>
      <c r="E103"/>
      <c r="F103" s="191"/>
      <c r="G103"/>
      <c r="H103"/>
      <c r="I103"/>
      <c r="J103"/>
      <c r="K103"/>
      <c r="L103"/>
      <c r="M103"/>
      <c r="N103" s="191"/>
      <c r="O103"/>
      <c r="P103"/>
      <c r="Q103" s="298"/>
      <c r="S103" s="62"/>
      <c r="T103" s="45" t="s">
        <v>82</v>
      </c>
      <c r="U103" s="32" t="s">
        <v>226</v>
      </c>
      <c r="V103" s="49" t="s">
        <v>145</v>
      </c>
      <c r="W103" s="159" t="s">
        <v>83</v>
      </c>
      <c r="X103" s="32" t="s">
        <v>144</v>
      </c>
      <c r="Y103" s="257" t="s">
        <v>110</v>
      </c>
      <c r="Z103"/>
      <c r="AA103" s="62"/>
      <c r="AB103" s="45" t="s">
        <v>82</v>
      </c>
      <c r="AC103" s="32" t="s">
        <v>226</v>
      </c>
      <c r="AD103" s="49" t="s">
        <v>145</v>
      </c>
      <c r="AE103" s="159" t="s">
        <v>83</v>
      </c>
      <c r="AF103" s="32" t="s">
        <v>143</v>
      </c>
      <c r="AG103" s="257" t="s">
        <v>110</v>
      </c>
      <c r="AH103"/>
      <c r="AI103"/>
      <c r="AJ103"/>
      <c r="AK103"/>
    </row>
    <row r="104" spans="1:37" s="173" customFormat="1" x14ac:dyDescent="0.35">
      <c r="A104" s="35"/>
      <c r="B104" s="42"/>
      <c r="C104"/>
      <c r="D104"/>
      <c r="E104"/>
      <c r="F104" s="191"/>
      <c r="G104"/>
      <c r="H104"/>
      <c r="I104"/>
      <c r="J104"/>
      <c r="K104"/>
      <c r="L104"/>
      <c r="M104"/>
      <c r="N104" s="191"/>
      <c r="O104"/>
      <c r="P104"/>
      <c r="Q104" s="298"/>
      <c r="S104" s="63" t="s">
        <v>273</v>
      </c>
      <c r="T104" s="53">
        <f>D52</f>
        <v>203.31025000000002</v>
      </c>
      <c r="U104" s="157">
        <f>(W104-AE92)/AE92</f>
        <v>0.23200000000000029</v>
      </c>
      <c r="V104" s="57">
        <f>F52*1.5</f>
        <v>9.1350000000000028E-2</v>
      </c>
      <c r="W104" s="83">
        <f>V104*T104</f>
        <v>18.572391337500008</v>
      </c>
      <c r="X104" s="58">
        <v>1.7500000000000002E-2</v>
      </c>
      <c r="Y104" s="258">
        <f>X104*W104*1000000</f>
        <v>325016.84840625018</v>
      </c>
      <c r="Z104" s="42"/>
      <c r="AA104" s="63" t="s">
        <v>273</v>
      </c>
      <c r="AB104" s="53">
        <f>L52</f>
        <v>223.64127500000004</v>
      </c>
      <c r="AC104" s="157">
        <f>(AE104-W104)/W104</f>
        <v>0.25840000000000007</v>
      </c>
      <c r="AD104" s="57">
        <f>N52*1.5</f>
        <v>0.10450440000000004</v>
      </c>
      <c r="AE104" s="83">
        <f>AD104*AB104</f>
        <v>23.371497259110011</v>
      </c>
      <c r="AF104" s="58">
        <v>1.7500000000000002E-2</v>
      </c>
      <c r="AG104" s="258">
        <f>AF104*AE104*1000000</f>
        <v>409001.20203442522</v>
      </c>
      <c r="AH104"/>
      <c r="AI104"/>
      <c r="AJ104"/>
      <c r="AK104"/>
    </row>
    <row r="105" spans="1:37" s="173" customFormat="1" ht="15.75" customHeight="1" x14ac:dyDescent="0.35">
      <c r="A105" s="35"/>
      <c r="B105" s="268"/>
      <c r="C105"/>
      <c r="D105"/>
      <c r="E105"/>
      <c r="F105" s="191"/>
      <c r="G105"/>
      <c r="H105"/>
      <c r="I105"/>
      <c r="J105"/>
      <c r="K105"/>
      <c r="L105"/>
      <c r="M105"/>
      <c r="N105" s="191"/>
      <c r="O105"/>
      <c r="P105"/>
      <c r="Q105" s="298"/>
      <c r="S105" s="63" t="s">
        <v>274</v>
      </c>
      <c r="T105" s="53">
        <f>D54</f>
        <v>1598.6368125000006</v>
      </c>
      <c r="U105" s="157">
        <f t="shared" ref="U105:U111" si="62">(W105-AE93)/AE93</f>
        <v>1.0580000000000001</v>
      </c>
      <c r="V105" s="57">
        <f>F54*1.5</f>
        <v>5.8799999999999998E-2</v>
      </c>
      <c r="W105" s="83">
        <f t="shared" ref="W105:W112" si="63">V105*T105</f>
        <v>93.999844575000026</v>
      </c>
      <c r="X105" s="60">
        <v>1.7500000000000002E-2</v>
      </c>
      <c r="Y105" s="258">
        <f t="shared" ref="Y105:Y111" si="64">X105*W105*1000000</f>
        <v>1644997.2800625006</v>
      </c>
      <c r="Z105" s="35"/>
      <c r="AA105" s="63" t="s">
        <v>274</v>
      </c>
      <c r="AB105" s="53">
        <f>L54</f>
        <v>1678.5686531250008</v>
      </c>
      <c r="AC105" s="157">
        <f t="shared" ref="AC105:AC111" si="65">(AE105-W105)/W105</f>
        <v>0.5750000000000004</v>
      </c>
      <c r="AD105" s="57">
        <f t="shared" ref="AD105:AD112" si="66">V105*1.5</f>
        <v>8.8200000000000001E-2</v>
      </c>
      <c r="AE105" s="83">
        <f t="shared" ref="AE105:AE111" si="67">AD105*AB105</f>
        <v>148.04975520562508</v>
      </c>
      <c r="AF105" s="60">
        <v>1.7500000000000002E-2</v>
      </c>
      <c r="AG105" s="258">
        <f t="shared" ref="AG105:AG111" si="68">AF105*AE105*1000000</f>
        <v>2590870.7160984389</v>
      </c>
      <c r="AH105"/>
      <c r="AI105"/>
      <c r="AJ105"/>
      <c r="AK105"/>
    </row>
    <row r="106" spans="1:37" s="173" customFormat="1" x14ac:dyDescent="0.35">
      <c r="A106" s="35"/>
      <c r="B106" s="268"/>
      <c r="C106"/>
      <c r="D106"/>
      <c r="E106"/>
      <c r="F106" s="191"/>
      <c r="G106"/>
      <c r="H106"/>
      <c r="I106"/>
      <c r="J106"/>
      <c r="K106"/>
      <c r="L106"/>
      <c r="M106"/>
      <c r="N106" s="191"/>
      <c r="O106"/>
      <c r="P106"/>
      <c r="Q106" s="298"/>
      <c r="S106" s="64" t="s">
        <v>35</v>
      </c>
      <c r="T106" s="53">
        <f>D53</f>
        <v>446.17716000000019</v>
      </c>
      <c r="U106" s="157">
        <f t="shared" si="62"/>
        <v>1.1600000000000001</v>
      </c>
      <c r="V106" s="57">
        <f>F53*1.5</f>
        <v>0.03</v>
      </c>
      <c r="W106" s="83">
        <f t="shared" si="63"/>
        <v>13.385314800000005</v>
      </c>
      <c r="X106" s="60">
        <v>1.7500000000000002E-2</v>
      </c>
      <c r="Y106" s="258">
        <f t="shared" si="64"/>
        <v>234243.00900000011</v>
      </c>
      <c r="Z106" s="36"/>
      <c r="AA106" s="64" t="s">
        <v>35</v>
      </c>
      <c r="AB106" s="53">
        <f>L53</f>
        <v>481.87133280000023</v>
      </c>
      <c r="AC106" s="157">
        <f t="shared" si="65"/>
        <v>0.62</v>
      </c>
      <c r="AD106" s="57">
        <f t="shared" si="66"/>
        <v>4.4999999999999998E-2</v>
      </c>
      <c r="AE106" s="83">
        <f t="shared" si="67"/>
        <v>21.684209976000009</v>
      </c>
      <c r="AF106" s="60">
        <v>1.7500000000000002E-2</v>
      </c>
      <c r="AG106" s="258">
        <f t="shared" si="68"/>
        <v>379473.67458000022</v>
      </c>
      <c r="AH106"/>
      <c r="AI106"/>
      <c r="AJ106"/>
      <c r="AK106"/>
    </row>
    <row r="107" spans="1:37" s="173" customFormat="1" x14ac:dyDescent="0.35">
      <c r="A107" s="35"/>
      <c r="B107" s="268"/>
      <c r="C107"/>
      <c r="D107"/>
      <c r="E107"/>
      <c r="F107" s="191"/>
      <c r="G107"/>
      <c r="H107"/>
      <c r="I107"/>
      <c r="J107"/>
      <c r="K107"/>
      <c r="L107"/>
      <c r="M107"/>
      <c r="N107" s="191"/>
      <c r="O107"/>
      <c r="P107"/>
      <c r="Q107" s="298"/>
      <c r="S107" s="64" t="s">
        <v>58</v>
      </c>
      <c r="T107" s="53">
        <f>D55</f>
        <v>6892.6295454545452</v>
      </c>
      <c r="U107" s="157">
        <f t="shared" si="62"/>
        <v>0.36500000000000038</v>
      </c>
      <c r="V107" s="57">
        <f>F55*1.5</f>
        <v>1.9500000000000003E-2</v>
      </c>
      <c r="W107" s="83">
        <f t="shared" si="63"/>
        <v>134.40627613636366</v>
      </c>
      <c r="X107" s="60">
        <v>1.7500000000000002E-2</v>
      </c>
      <c r="Y107" s="258">
        <f t="shared" si="64"/>
        <v>2352109.8323863642</v>
      </c>
      <c r="Z107" s="36"/>
      <c r="AA107" s="64" t="s">
        <v>58</v>
      </c>
      <c r="AB107" s="53">
        <f>L55</f>
        <v>7237.2610227272726</v>
      </c>
      <c r="AC107" s="157">
        <f t="shared" si="65"/>
        <v>0.57499999999999996</v>
      </c>
      <c r="AD107" s="57">
        <f t="shared" si="66"/>
        <v>2.9250000000000005E-2</v>
      </c>
      <c r="AE107" s="83">
        <f t="shared" si="67"/>
        <v>211.68988491477276</v>
      </c>
      <c r="AF107" s="60">
        <v>1.7500000000000002E-2</v>
      </c>
      <c r="AG107" s="258">
        <f t="shared" si="68"/>
        <v>3704572.9860085235</v>
      </c>
      <c r="AH107"/>
      <c r="AI107"/>
      <c r="AJ107"/>
      <c r="AK107"/>
    </row>
    <row r="108" spans="1:37" s="173" customFormat="1" x14ac:dyDescent="0.35">
      <c r="A108" s="35"/>
      <c r="B108" s="268"/>
      <c r="C108"/>
      <c r="D108"/>
      <c r="E108"/>
      <c r="F108" s="191"/>
      <c r="G108"/>
      <c r="H108"/>
      <c r="I108"/>
      <c r="J108"/>
      <c r="K108"/>
      <c r="L108"/>
      <c r="M108"/>
      <c r="N108" s="191"/>
      <c r="O108"/>
      <c r="P108"/>
      <c r="Q108" s="298"/>
      <c r="S108" s="64" t="s">
        <v>62</v>
      </c>
      <c r="T108" s="53">
        <f>D56</f>
        <v>217.54687500000003</v>
      </c>
      <c r="U108" s="157">
        <f t="shared" si="62"/>
        <v>0.36500000000000021</v>
      </c>
      <c r="V108" s="57">
        <f>F56*1.5</f>
        <v>9.7500000000000017E-3</v>
      </c>
      <c r="W108" s="83">
        <f t="shared" si="63"/>
        <v>2.1210820312500007</v>
      </c>
      <c r="X108" s="60">
        <v>1.7500000000000002E-2</v>
      </c>
      <c r="Y108" s="258">
        <f t="shared" si="64"/>
        <v>37118.935546875015</v>
      </c>
      <c r="Z108" s="36"/>
      <c r="AA108" s="64" t="s">
        <v>62</v>
      </c>
      <c r="AB108" s="53">
        <f>L56</f>
        <v>228.42421875000005</v>
      </c>
      <c r="AC108" s="157">
        <f t="shared" si="65"/>
        <v>0.57500000000000007</v>
      </c>
      <c r="AD108" s="57">
        <f t="shared" si="66"/>
        <v>1.4625000000000003E-2</v>
      </c>
      <c r="AE108" s="83">
        <f t="shared" si="67"/>
        <v>3.3407041992187514</v>
      </c>
      <c r="AF108" s="60">
        <v>1.7500000000000002E-2</v>
      </c>
      <c r="AG108" s="258">
        <f t="shared" si="68"/>
        <v>58462.323486328154</v>
      </c>
      <c r="AH108"/>
      <c r="AI108"/>
      <c r="AJ108"/>
      <c r="AK108"/>
    </row>
    <row r="109" spans="1:37" s="173" customFormat="1" x14ac:dyDescent="0.35">
      <c r="A109" s="35"/>
      <c r="B109" s="268"/>
      <c r="C109"/>
      <c r="D109"/>
      <c r="E109"/>
      <c r="F109" s="191"/>
      <c r="G109"/>
      <c r="H109"/>
      <c r="I109"/>
      <c r="J109"/>
      <c r="K109"/>
      <c r="L109"/>
      <c r="M109"/>
      <c r="N109" s="191"/>
      <c r="O109"/>
      <c r="P109"/>
      <c r="Q109" s="298"/>
      <c r="S109" s="64" t="s">
        <v>204</v>
      </c>
      <c r="T109" s="53">
        <f>D57</f>
        <v>1873.9743750000002</v>
      </c>
      <c r="U109" s="157">
        <f t="shared" si="62"/>
        <v>0.57500000000000007</v>
      </c>
      <c r="V109" s="57">
        <f>F57*1.5</f>
        <v>2.2499999999999999E-2</v>
      </c>
      <c r="W109" s="83">
        <f t="shared" si="63"/>
        <v>42.164423437500005</v>
      </c>
      <c r="X109" s="60">
        <v>1.7500000000000002E-2</v>
      </c>
      <c r="Y109" s="258">
        <f t="shared" si="64"/>
        <v>737877.41015625023</v>
      </c>
      <c r="Z109" s="36"/>
      <c r="AA109" s="64" t="s">
        <v>204</v>
      </c>
      <c r="AB109" s="53">
        <f>L57</f>
        <v>1967.6730937500004</v>
      </c>
      <c r="AC109" s="157">
        <f t="shared" si="65"/>
        <v>0.57500000000000018</v>
      </c>
      <c r="AD109" s="57">
        <f t="shared" si="66"/>
        <v>3.3750000000000002E-2</v>
      </c>
      <c r="AE109" s="83">
        <f t="shared" si="67"/>
        <v>66.408966914062518</v>
      </c>
      <c r="AF109" s="60">
        <v>1.7500000000000002E-2</v>
      </c>
      <c r="AG109" s="258">
        <f t="shared" si="68"/>
        <v>1162156.9209960944</v>
      </c>
      <c r="AH109"/>
      <c r="AI109"/>
      <c r="AJ109"/>
      <c r="AK109"/>
    </row>
    <row r="110" spans="1:37" s="173" customFormat="1" x14ac:dyDescent="0.35">
      <c r="A110" s="35"/>
      <c r="B110"/>
      <c r="C110"/>
      <c r="D110"/>
      <c r="E110"/>
      <c r="F110" s="191"/>
      <c r="G110"/>
      <c r="H110"/>
      <c r="I110"/>
      <c r="J110"/>
      <c r="K110"/>
      <c r="L110"/>
      <c r="M110"/>
      <c r="N110" s="191"/>
      <c r="O110"/>
      <c r="P110"/>
      <c r="Q110" s="298"/>
      <c r="S110" s="64" t="s">
        <v>207</v>
      </c>
      <c r="T110" s="53">
        <f>D58</f>
        <v>85.995000000000005</v>
      </c>
      <c r="U110" s="157">
        <f t="shared" si="62"/>
        <v>0.36499999999999994</v>
      </c>
      <c r="V110" s="57">
        <f>F58*1.5</f>
        <v>5.8499999999999996E-2</v>
      </c>
      <c r="W110" s="83">
        <f t="shared" si="63"/>
        <v>5.0307075000000001</v>
      </c>
      <c r="X110" s="60">
        <v>1.7500000000000002E-2</v>
      </c>
      <c r="Y110" s="258">
        <f t="shared" si="64"/>
        <v>88037.381250000006</v>
      </c>
      <c r="Z110" s="36"/>
      <c r="AA110" s="64" t="s">
        <v>207</v>
      </c>
      <c r="AB110" s="53">
        <f>L58</f>
        <v>90.294750000000008</v>
      </c>
      <c r="AC110" s="157">
        <f t="shared" si="65"/>
        <v>0.57500000000000007</v>
      </c>
      <c r="AD110" s="57">
        <f t="shared" si="66"/>
        <v>8.7749999999999995E-2</v>
      </c>
      <c r="AE110" s="83">
        <f t="shared" si="67"/>
        <v>7.9233643125000004</v>
      </c>
      <c r="AF110" s="60">
        <v>1.7500000000000002E-2</v>
      </c>
      <c r="AG110" s="258">
        <f t="shared" si="68"/>
        <v>138658.87546875002</v>
      </c>
      <c r="AH110"/>
      <c r="AI110"/>
      <c r="AJ110"/>
      <c r="AK110"/>
    </row>
    <row r="111" spans="1:37" s="173" customFormat="1" x14ac:dyDescent="0.35">
      <c r="A111" s="35"/>
      <c r="B111"/>
      <c r="C111"/>
      <c r="D111"/>
      <c r="E111"/>
      <c r="F111" s="191"/>
      <c r="G111"/>
      <c r="H111"/>
      <c r="I111"/>
      <c r="J111"/>
      <c r="K111"/>
      <c r="L111"/>
      <c r="M111"/>
      <c r="N111" s="191"/>
      <c r="O111"/>
      <c r="P111"/>
      <c r="Q111" s="298"/>
      <c r="S111" s="64" t="s">
        <v>215</v>
      </c>
      <c r="T111" s="53">
        <f>D59</f>
        <v>6768.2364750000015</v>
      </c>
      <c r="U111" s="157">
        <f t="shared" si="62"/>
        <v>0.26000000000000029</v>
      </c>
      <c r="V111" s="57">
        <f>F59*1.5</f>
        <v>1.8000000000000002E-2</v>
      </c>
      <c r="W111" s="83">
        <f t="shared" si="63"/>
        <v>121.82825655000005</v>
      </c>
      <c r="X111" s="60">
        <v>1.7500000000000002E-2</v>
      </c>
      <c r="Y111" s="258">
        <f t="shared" si="64"/>
        <v>2131994.4896250013</v>
      </c>
      <c r="Z111"/>
      <c r="AA111" s="64" t="s">
        <v>215</v>
      </c>
      <c r="AB111" s="53">
        <f>L59</f>
        <v>7106.6482987500021</v>
      </c>
      <c r="AC111" s="157">
        <f t="shared" si="65"/>
        <v>0.57500000000000018</v>
      </c>
      <c r="AD111" s="57">
        <f t="shared" si="66"/>
        <v>2.7000000000000003E-2</v>
      </c>
      <c r="AE111" s="83">
        <f t="shared" si="67"/>
        <v>191.87950406625009</v>
      </c>
      <c r="AF111" s="60">
        <v>1.7500000000000002E-2</v>
      </c>
      <c r="AG111" s="258">
        <f t="shared" si="68"/>
        <v>3357891.3211593768</v>
      </c>
      <c r="AH111"/>
      <c r="AI111"/>
      <c r="AJ111"/>
      <c r="AK111"/>
    </row>
    <row r="112" spans="1:37" s="173" customFormat="1" ht="15" thickBot="1" x14ac:dyDescent="0.4">
      <c r="A112" s="35"/>
      <c r="B112"/>
      <c r="C112"/>
      <c r="D112"/>
      <c r="E112"/>
      <c r="F112" s="191"/>
      <c r="G112"/>
      <c r="H112"/>
      <c r="I112"/>
      <c r="J112"/>
      <c r="K112"/>
      <c r="L112"/>
      <c r="M112"/>
      <c r="N112" s="191"/>
      <c r="O112"/>
      <c r="P112"/>
      <c r="Q112" s="298"/>
      <c r="S112" s="65" t="s">
        <v>116</v>
      </c>
      <c r="T112" s="66">
        <f>SUM(T104:T111)</f>
        <v>18086.506492954548</v>
      </c>
      <c r="U112" s="88">
        <f>SUM(U104:U111)/8</f>
        <v>0.54750000000000021</v>
      </c>
      <c r="V112" s="67">
        <f>SUM(V104:V111)</f>
        <v>0.30840000000000006</v>
      </c>
      <c r="W112" s="90">
        <f t="shared" si="63"/>
        <v>5577.878602427184</v>
      </c>
      <c r="X112" s="28"/>
      <c r="Y112" s="259">
        <f>SUM(Y104:Y110)</f>
        <v>5419400.6968082394</v>
      </c>
      <c r="Z112"/>
      <c r="AA112" s="65" t="s">
        <v>116</v>
      </c>
      <c r="AB112" s="66"/>
      <c r="AC112" s="88"/>
      <c r="AD112" s="67">
        <f t="shared" si="66"/>
        <v>0.46260000000000012</v>
      </c>
      <c r="AE112" s="90"/>
      <c r="AF112" s="28"/>
      <c r="AG112" s="259">
        <f>SUM(AG104:AG110)</f>
        <v>8443196.6986725591</v>
      </c>
      <c r="AH112"/>
      <c r="AI112"/>
      <c r="AJ112"/>
      <c r="AK112"/>
    </row>
    <row r="113" spans="1:37" s="173" customFormat="1" ht="15" thickBot="1" x14ac:dyDescent="0.4">
      <c r="A113" s="35"/>
      <c r="B113"/>
      <c r="C113"/>
      <c r="D113"/>
      <c r="E113"/>
      <c r="F113" s="191"/>
      <c r="G113"/>
      <c r="H113"/>
      <c r="I113"/>
      <c r="J113"/>
      <c r="K113"/>
      <c r="L113"/>
      <c r="M113"/>
      <c r="N113" s="191"/>
      <c r="O113"/>
      <c r="P113"/>
      <c r="Q113" s="298"/>
      <c r="S113" s="29"/>
      <c r="T113" s="38"/>
      <c r="U113" s="30"/>
      <c r="V113" s="50"/>
      <c r="W113" s="82"/>
      <c r="X113" s="37"/>
      <c r="Y113" s="252"/>
      <c r="Z113"/>
      <c r="AA113"/>
      <c r="AB113"/>
      <c r="AC113" s="30"/>
      <c r="AD113"/>
      <c r="AE113" s="82"/>
      <c r="AF113"/>
      <c r="AG113" s="252"/>
      <c r="AH113"/>
      <c r="AI113"/>
      <c r="AJ113"/>
      <c r="AK113"/>
    </row>
    <row r="114" spans="1:37" s="173" customFormat="1" x14ac:dyDescent="0.35">
      <c r="A114" s="35"/>
      <c r="B114"/>
      <c r="C114"/>
      <c r="D114"/>
      <c r="E114"/>
      <c r="F114" s="191"/>
      <c r="G114"/>
      <c r="H114"/>
      <c r="I114"/>
      <c r="J114"/>
      <c r="K114"/>
      <c r="L114"/>
      <c r="M114"/>
      <c r="N114" s="191"/>
      <c r="O114"/>
      <c r="P114"/>
      <c r="Q114" s="298"/>
      <c r="S114" s="376" t="s">
        <v>85</v>
      </c>
      <c r="T114" s="377"/>
      <c r="U114" s="377"/>
      <c r="V114" s="377"/>
      <c r="W114" s="377"/>
      <c r="X114" s="377"/>
      <c r="Y114" s="378"/>
      <c r="Z114"/>
      <c r="AA114" s="376" t="s">
        <v>86</v>
      </c>
      <c r="AB114" s="377"/>
      <c r="AC114" s="377"/>
      <c r="AD114" s="377"/>
      <c r="AE114" s="377"/>
      <c r="AF114" s="377"/>
      <c r="AG114" s="378"/>
      <c r="AH114"/>
      <c r="AI114"/>
      <c r="AJ114"/>
      <c r="AK114"/>
    </row>
    <row r="115" spans="1:37" s="173" customFormat="1" x14ac:dyDescent="0.35">
      <c r="A115" s="35"/>
      <c r="B115"/>
      <c r="C115"/>
      <c r="D115"/>
      <c r="E115"/>
      <c r="F115" s="191"/>
      <c r="G115"/>
      <c r="H115"/>
      <c r="I115"/>
      <c r="J115"/>
      <c r="K115"/>
      <c r="L115"/>
      <c r="M115"/>
      <c r="N115" s="191"/>
      <c r="O115"/>
      <c r="P115"/>
      <c r="Q115" s="298"/>
      <c r="S115" s="62"/>
      <c r="T115" s="45" t="s">
        <v>82</v>
      </c>
      <c r="U115" s="32" t="s">
        <v>226</v>
      </c>
      <c r="V115" s="49" t="s">
        <v>145</v>
      </c>
      <c r="W115" s="159" t="s">
        <v>83</v>
      </c>
      <c r="X115" s="32" t="s">
        <v>143</v>
      </c>
      <c r="Y115" s="257" t="s">
        <v>110</v>
      </c>
      <c r="Z115"/>
      <c r="AA115" s="62"/>
      <c r="AB115" s="45" t="s">
        <v>82</v>
      </c>
      <c r="AC115" s="32" t="s">
        <v>226</v>
      </c>
      <c r="AD115" s="49" t="s">
        <v>145</v>
      </c>
      <c r="AE115" s="159" t="s">
        <v>83</v>
      </c>
      <c r="AF115" s="32" t="s">
        <v>143</v>
      </c>
      <c r="AG115" s="257" t="s">
        <v>110</v>
      </c>
      <c r="AH115"/>
      <c r="AI115"/>
      <c r="AJ115"/>
      <c r="AK115"/>
    </row>
    <row r="116" spans="1:37" s="173" customFormat="1" x14ac:dyDescent="0.35">
      <c r="A116" s="35"/>
      <c r="B116"/>
      <c r="C116"/>
      <c r="D116"/>
      <c r="E116"/>
      <c r="F116" s="191"/>
      <c r="G116"/>
      <c r="H116"/>
      <c r="I116"/>
      <c r="J116"/>
      <c r="K116"/>
      <c r="L116"/>
      <c r="M116"/>
      <c r="N116" s="191"/>
      <c r="O116"/>
      <c r="P116"/>
      <c r="Q116" s="298"/>
      <c r="S116" s="63" t="s">
        <v>273</v>
      </c>
      <c r="T116" s="53">
        <f>D65</f>
        <v>246.00540250000006</v>
      </c>
      <c r="U116" s="157">
        <f t="shared" ref="U116:U123" si="69">(W116-AE104)/AE104</f>
        <v>0.1396000000000002</v>
      </c>
      <c r="V116" s="57">
        <f>F65*1.5</f>
        <v>0.10826655840000005</v>
      </c>
      <c r="W116" s="83">
        <f>V116*T116</f>
        <v>26.634158276481774</v>
      </c>
      <c r="X116" s="58">
        <v>0.02</v>
      </c>
      <c r="Y116" s="258">
        <f>X116*W116*1000000</f>
        <v>532683.1655296355</v>
      </c>
      <c r="Z116"/>
      <c r="AA116" s="63" t="s">
        <v>273</v>
      </c>
      <c r="AB116" s="53">
        <f>L65</f>
        <v>270.60594275000011</v>
      </c>
      <c r="AC116" s="157">
        <f>(AE116-W116)/W116</f>
        <v>0.37500000000000022</v>
      </c>
      <c r="AD116" s="57">
        <f>N65*1.5</f>
        <v>0.13533319800000004</v>
      </c>
      <c r="AE116" s="83">
        <f>AD116*AB116</f>
        <v>36.621967630162445</v>
      </c>
      <c r="AF116" s="58">
        <v>0.02</v>
      </c>
      <c r="AG116" s="258">
        <f>AF116*AE116*1000000</f>
        <v>732439.3526032489</v>
      </c>
      <c r="AH116"/>
      <c r="AI116"/>
      <c r="AJ116"/>
      <c r="AK116"/>
    </row>
    <row r="117" spans="1:37" s="173" customFormat="1" ht="15" customHeight="1" x14ac:dyDescent="0.35">
      <c r="A117" s="35"/>
      <c r="B117"/>
      <c r="C117"/>
      <c r="D117"/>
      <c r="E117"/>
      <c r="F117" s="191"/>
      <c r="G117"/>
      <c r="H117"/>
      <c r="I117"/>
      <c r="J117"/>
      <c r="K117"/>
      <c r="L117"/>
      <c r="M117"/>
      <c r="N117" s="191"/>
      <c r="O117"/>
      <c r="P117"/>
      <c r="Q117" s="298"/>
      <c r="S117" s="63" t="s">
        <v>274</v>
      </c>
      <c r="T117" s="53">
        <f>D67</f>
        <v>1762.4970857812509</v>
      </c>
      <c r="U117" s="157">
        <f t="shared" si="69"/>
        <v>2.5020787200000001</v>
      </c>
      <c r="V117" s="57">
        <f>F67*1.5</f>
        <v>0.29417461247999999</v>
      </c>
      <c r="W117" s="83">
        <f t="shared" ref="W117:W123" si="70">V117*T117</f>
        <v>518.48189720682876</v>
      </c>
      <c r="X117" s="58">
        <v>0.02</v>
      </c>
      <c r="Y117" s="258">
        <f t="shared" ref="Y117:Y123" si="71">X117*W117*1000000</f>
        <v>10369637.944136577</v>
      </c>
      <c r="Z117"/>
      <c r="AA117" s="63" t="s">
        <v>274</v>
      </c>
      <c r="AB117" s="53">
        <f>L67</f>
        <v>1850.6219400703135</v>
      </c>
      <c r="AC117" s="157">
        <f t="shared" ref="AC117:AC123" si="72">(AE117-W117)/W117</f>
        <v>0.68000000000000016</v>
      </c>
      <c r="AD117" s="57">
        <f>N67*1.5</f>
        <v>0.47067937996800002</v>
      </c>
      <c r="AE117" s="83">
        <f t="shared" ref="AE117:AE123" si="73">AD117*AB117</f>
        <v>871.04958730747239</v>
      </c>
      <c r="AF117" s="60">
        <f>AF116</f>
        <v>0.02</v>
      </c>
      <c r="AG117" s="258">
        <f t="shared" ref="AG117:AG123" si="74">AF117*AE117*1000000</f>
        <v>17420991.746149447</v>
      </c>
      <c r="AH117"/>
      <c r="AI117"/>
      <c r="AJ117"/>
      <c r="AK117"/>
    </row>
    <row r="118" spans="1:37" s="173" customFormat="1" x14ac:dyDescent="0.35">
      <c r="A118" s="35"/>
      <c r="B118"/>
      <c r="C118"/>
      <c r="D118"/>
      <c r="E118"/>
      <c r="F118" s="191"/>
      <c r="G118"/>
      <c r="H118"/>
      <c r="I118"/>
      <c r="J118"/>
      <c r="K118"/>
      <c r="L118"/>
      <c r="M118"/>
      <c r="N118" s="191"/>
      <c r="O118"/>
      <c r="P118"/>
      <c r="Q118" s="298"/>
      <c r="S118" s="64" t="s">
        <v>35</v>
      </c>
      <c r="T118" s="53">
        <f>D66</f>
        <v>520.42103942400024</v>
      </c>
      <c r="U118" s="157">
        <f t="shared" si="69"/>
        <v>6.1280000000000001</v>
      </c>
      <c r="V118" s="57">
        <f>F66*1.5</f>
        <v>0.29699999999999999</v>
      </c>
      <c r="W118" s="83">
        <f t="shared" si="70"/>
        <v>154.56504870892806</v>
      </c>
      <c r="X118" s="58">
        <v>0.02</v>
      </c>
      <c r="Y118" s="258">
        <f t="shared" si="71"/>
        <v>3091300.9741785615</v>
      </c>
      <c r="Z118"/>
      <c r="AA118" s="64" t="s">
        <v>35</v>
      </c>
      <c r="AB118" s="53">
        <f>L66</f>
        <v>562.0547225779203</v>
      </c>
      <c r="AC118" s="157">
        <f t="shared" si="72"/>
        <v>0.72799999999999998</v>
      </c>
      <c r="AD118" s="57">
        <f>N66*1.5</f>
        <v>0.47519999999999996</v>
      </c>
      <c r="AE118" s="83">
        <f t="shared" si="73"/>
        <v>267.08840416902768</v>
      </c>
      <c r="AF118" s="60">
        <f t="shared" ref="AF118:AF123" si="75">AF117</f>
        <v>0.02</v>
      </c>
      <c r="AG118" s="258">
        <f t="shared" si="74"/>
        <v>5341768.0833805539</v>
      </c>
      <c r="AH118"/>
      <c r="AI118"/>
      <c r="AJ118"/>
      <c r="AK118"/>
    </row>
    <row r="119" spans="1:37" s="173" customFormat="1" x14ac:dyDescent="0.35">
      <c r="A119" s="35"/>
      <c r="B119"/>
      <c r="C119"/>
      <c r="D119"/>
      <c r="E119"/>
      <c r="F119" s="191"/>
      <c r="G119"/>
      <c r="H119"/>
      <c r="I119"/>
      <c r="J119"/>
      <c r="K119"/>
      <c r="L119"/>
      <c r="M119"/>
      <c r="N119" s="191"/>
      <c r="O119"/>
      <c r="P119"/>
      <c r="Q119" s="298"/>
      <c r="S119" s="64" t="s">
        <v>58</v>
      </c>
      <c r="T119" s="53">
        <f>D68</f>
        <v>7599.1240738636361</v>
      </c>
      <c r="U119" s="157">
        <f t="shared" si="69"/>
        <v>1.52</v>
      </c>
      <c r="V119" s="57">
        <f>F68*1.5</f>
        <v>7.0200000000000012E-2</v>
      </c>
      <c r="W119" s="83">
        <f t="shared" si="70"/>
        <v>533.45850998522735</v>
      </c>
      <c r="X119" s="58">
        <v>0.02</v>
      </c>
      <c r="Y119" s="258">
        <f t="shared" si="71"/>
        <v>10669170.199704546</v>
      </c>
      <c r="Z119"/>
      <c r="AA119" s="64" t="s">
        <v>58</v>
      </c>
      <c r="AB119" s="53">
        <f>L68</f>
        <v>7979.0802775568181</v>
      </c>
      <c r="AC119" s="157">
        <f t="shared" si="72"/>
        <v>1.1000000000000001</v>
      </c>
      <c r="AD119" s="57">
        <f>N68*1.5</f>
        <v>0.14040000000000002</v>
      </c>
      <c r="AE119" s="83">
        <f t="shared" si="73"/>
        <v>1120.2628709689775</v>
      </c>
      <c r="AF119" s="60">
        <f t="shared" si="75"/>
        <v>0.02</v>
      </c>
      <c r="AG119" s="258">
        <f t="shared" si="74"/>
        <v>22405257.419379547</v>
      </c>
      <c r="AH119"/>
      <c r="AI119"/>
      <c r="AJ119"/>
      <c r="AK119"/>
    </row>
    <row r="120" spans="1:37" s="173" customFormat="1" x14ac:dyDescent="0.35">
      <c r="A120" s="35"/>
      <c r="B120"/>
      <c r="C120"/>
      <c r="D120"/>
      <c r="E120"/>
      <c r="F120" s="191"/>
      <c r="G120"/>
      <c r="H120"/>
      <c r="I120"/>
      <c r="J120"/>
      <c r="K120"/>
      <c r="L120"/>
      <c r="M120"/>
      <c r="N120" s="191"/>
      <c r="O120"/>
      <c r="P120"/>
      <c r="Q120" s="298"/>
      <c r="S120" s="64" t="s">
        <v>62</v>
      </c>
      <c r="T120" s="53">
        <f>D69</f>
        <v>239.84542968750006</v>
      </c>
      <c r="U120" s="157">
        <f t="shared" si="69"/>
        <v>0.90399999999999969</v>
      </c>
      <c r="V120" s="57">
        <f>F69*1.5</f>
        <v>2.6520000000000002E-2</v>
      </c>
      <c r="W120" s="83">
        <f t="shared" si="70"/>
        <v>6.3607007953125017</v>
      </c>
      <c r="X120" s="58">
        <v>0.02</v>
      </c>
      <c r="Y120" s="258">
        <f t="shared" si="71"/>
        <v>127214.01590625003</v>
      </c>
      <c r="Z120"/>
      <c r="AA120" s="64" t="s">
        <v>62</v>
      </c>
      <c r="AB120" s="53">
        <f>L69</f>
        <v>251.83770117187507</v>
      </c>
      <c r="AC120" s="157">
        <f t="shared" si="72"/>
        <v>1.1000000000000001</v>
      </c>
      <c r="AD120" s="57">
        <f>N69*1.5</f>
        <v>5.3040000000000004E-2</v>
      </c>
      <c r="AE120" s="83">
        <f t="shared" si="73"/>
        <v>13.357471670156254</v>
      </c>
      <c r="AF120" s="60">
        <f t="shared" si="75"/>
        <v>0.02</v>
      </c>
      <c r="AG120" s="258">
        <f t="shared" si="74"/>
        <v>267149.43340312509</v>
      </c>
      <c r="AH120"/>
      <c r="AI120"/>
      <c r="AJ120"/>
      <c r="AK120"/>
    </row>
    <row r="121" spans="1:37" s="173" customFormat="1" x14ac:dyDescent="0.35">
      <c r="A121" s="35"/>
      <c r="B121"/>
      <c r="C121"/>
      <c r="D121"/>
      <c r="E121"/>
      <c r="F121" s="191"/>
      <c r="G121"/>
      <c r="H121"/>
      <c r="I121"/>
      <c r="J121"/>
      <c r="K121"/>
      <c r="L121"/>
      <c r="M121"/>
      <c r="N121" s="191"/>
      <c r="O121"/>
      <c r="P121"/>
      <c r="Q121" s="298"/>
      <c r="S121" s="64" t="s">
        <v>204</v>
      </c>
      <c r="T121" s="53">
        <f>D70</f>
        <v>2066.0567484375006</v>
      </c>
      <c r="U121" s="157">
        <f t="shared" si="69"/>
        <v>2.5</v>
      </c>
      <c r="V121" s="57">
        <f>F70*1.5</f>
        <v>0.11249999999999999</v>
      </c>
      <c r="W121" s="83">
        <f t="shared" si="70"/>
        <v>232.4313841992188</v>
      </c>
      <c r="X121" s="58">
        <v>0.02</v>
      </c>
      <c r="Y121" s="258">
        <f t="shared" si="71"/>
        <v>4648627.6839843765</v>
      </c>
      <c r="Z121"/>
      <c r="AA121" s="64" t="s">
        <v>204</v>
      </c>
      <c r="AB121" s="53">
        <f>L70</f>
        <v>2169.3595858593758</v>
      </c>
      <c r="AC121" s="157">
        <f t="shared" si="72"/>
        <v>0.83750000000000047</v>
      </c>
      <c r="AD121" s="57">
        <f>N70*1.5</f>
        <v>0.19687500000000002</v>
      </c>
      <c r="AE121" s="83">
        <f t="shared" si="73"/>
        <v>427.09266846606465</v>
      </c>
      <c r="AF121" s="60">
        <f t="shared" si="75"/>
        <v>0.02</v>
      </c>
      <c r="AG121" s="258">
        <f t="shared" si="74"/>
        <v>8541853.3693212941</v>
      </c>
      <c r="AH121"/>
      <c r="AI121"/>
      <c r="AJ121"/>
      <c r="AK121"/>
    </row>
    <row r="122" spans="1:37" s="173" customFormat="1" x14ac:dyDescent="0.35">
      <c r="A122" s="35"/>
      <c r="B122"/>
      <c r="C122"/>
      <c r="D122"/>
      <c r="E122"/>
      <c r="F122" s="191"/>
      <c r="G122"/>
      <c r="H122"/>
      <c r="I122"/>
      <c r="J122"/>
      <c r="K122"/>
      <c r="L122"/>
      <c r="M122"/>
      <c r="N122" s="191"/>
      <c r="O122"/>
      <c r="P122"/>
      <c r="Q122" s="298"/>
      <c r="S122" s="64" t="s">
        <v>207</v>
      </c>
      <c r="T122" s="53">
        <f>D71</f>
        <v>94.809487500000017</v>
      </c>
      <c r="U122" s="157">
        <f t="shared" si="69"/>
        <v>1.4640000000000004</v>
      </c>
      <c r="V122" s="57">
        <f>F71*1.5</f>
        <v>0.20592000000000002</v>
      </c>
      <c r="W122" s="83">
        <f t="shared" si="70"/>
        <v>19.523169666000005</v>
      </c>
      <c r="X122" s="58">
        <v>0.02</v>
      </c>
      <c r="Y122" s="258">
        <f t="shared" si="71"/>
        <v>390463.39332000015</v>
      </c>
      <c r="Z122"/>
      <c r="AA122" s="64" t="s">
        <v>207</v>
      </c>
      <c r="AB122" s="53">
        <f>L71</f>
        <v>99.549961875000022</v>
      </c>
      <c r="AC122" s="157">
        <f t="shared" si="72"/>
        <v>1.1000000000000001</v>
      </c>
      <c r="AD122" s="57">
        <f>N71*1.5</f>
        <v>0.41184000000000004</v>
      </c>
      <c r="AE122" s="83">
        <f t="shared" si="73"/>
        <v>40.998656298600011</v>
      </c>
      <c r="AF122" s="60">
        <f t="shared" si="75"/>
        <v>0.02</v>
      </c>
      <c r="AG122" s="258">
        <f t="shared" si="74"/>
        <v>819973.12597200018</v>
      </c>
      <c r="AH122"/>
      <c r="AI122"/>
      <c r="AJ122"/>
      <c r="AK122"/>
    </row>
    <row r="123" spans="1:37" s="173" customFormat="1" x14ac:dyDescent="0.35">
      <c r="A123" s="35"/>
      <c r="B123"/>
      <c r="C123"/>
      <c r="D123"/>
      <c r="E123"/>
      <c r="F123" s="191"/>
      <c r="G123"/>
      <c r="H123"/>
      <c r="I123"/>
      <c r="J123"/>
      <c r="K123"/>
      <c r="L123"/>
      <c r="M123"/>
      <c r="N123" s="191"/>
      <c r="O123"/>
      <c r="P123"/>
      <c r="Q123" s="298"/>
      <c r="S123" s="64" t="s">
        <v>215</v>
      </c>
      <c r="T123" s="53">
        <f>D72</f>
        <v>7461.9807136875024</v>
      </c>
      <c r="U123" s="157">
        <f t="shared" si="69"/>
        <v>0.76399999999999957</v>
      </c>
      <c r="V123" s="57">
        <f>F72*1.5</f>
        <v>4.5359999999999998E-2</v>
      </c>
      <c r="W123" s="83">
        <f t="shared" si="70"/>
        <v>338.47544517286508</v>
      </c>
      <c r="X123" s="58">
        <v>0.02</v>
      </c>
      <c r="Y123" s="258">
        <f t="shared" si="71"/>
        <v>6769508.9034573017</v>
      </c>
      <c r="Z123"/>
      <c r="AA123" s="64" t="s">
        <v>215</v>
      </c>
      <c r="AB123" s="53">
        <f>L72</f>
        <v>7835.0797493718783</v>
      </c>
      <c r="AC123" s="157">
        <f t="shared" si="72"/>
        <v>0.57500000000000018</v>
      </c>
      <c r="AD123" s="57">
        <f>N72*1.5</f>
        <v>6.8039999999999989E-2</v>
      </c>
      <c r="AE123" s="83">
        <f t="shared" si="73"/>
        <v>533.09882614726257</v>
      </c>
      <c r="AF123" s="60">
        <f t="shared" si="75"/>
        <v>0.02</v>
      </c>
      <c r="AG123" s="258">
        <f t="shared" si="74"/>
        <v>10661976.522945251</v>
      </c>
      <c r="AH123"/>
      <c r="AI123"/>
      <c r="AJ123"/>
      <c r="AK123"/>
    </row>
    <row r="124" spans="1:37" s="173" customFormat="1" ht="15" thickBot="1" x14ac:dyDescent="0.4">
      <c r="A124" s="35"/>
      <c r="B124"/>
      <c r="C124"/>
      <c r="D124"/>
      <c r="E124"/>
      <c r="F124" s="191"/>
      <c r="G124"/>
      <c r="H124"/>
      <c r="I124"/>
      <c r="J124"/>
      <c r="K124"/>
      <c r="L124"/>
      <c r="M124"/>
      <c r="N124" s="191"/>
      <c r="O124"/>
      <c r="P124"/>
      <c r="Q124" s="298"/>
      <c r="S124" s="65" t="s">
        <v>116</v>
      </c>
      <c r="T124" s="66"/>
      <c r="U124" s="88"/>
      <c r="V124" s="67"/>
      <c r="W124" s="90"/>
      <c r="X124" s="28"/>
      <c r="Y124" s="259">
        <f>SUM(Y116:Y122)</f>
        <v>29829097.376759946</v>
      </c>
      <c r="Z124"/>
      <c r="AA124" s="65" t="s">
        <v>116</v>
      </c>
      <c r="AB124" s="66"/>
      <c r="AC124" s="88"/>
      <c r="AD124" s="67"/>
      <c r="AE124" s="90"/>
      <c r="AF124" s="28"/>
      <c r="AG124" s="259">
        <f>SUM(AG116:AG122)</f>
        <v>55529432.530209221</v>
      </c>
      <c r="AH124"/>
      <c r="AI124"/>
      <c r="AJ124"/>
      <c r="AK124"/>
    </row>
    <row r="125" spans="1:37" s="173" customFormat="1" ht="15" thickBot="1" x14ac:dyDescent="0.4">
      <c r="A125" s="35"/>
      <c r="B125"/>
      <c r="C125"/>
      <c r="D125"/>
      <c r="E125"/>
      <c r="F125" s="191"/>
      <c r="G125"/>
      <c r="H125"/>
      <c r="I125"/>
      <c r="J125"/>
      <c r="K125"/>
      <c r="L125"/>
      <c r="M125"/>
      <c r="N125" s="191"/>
      <c r="O125"/>
      <c r="P125"/>
      <c r="Q125" s="298"/>
      <c r="S125" s="29"/>
      <c r="T125" s="38"/>
      <c r="U125" s="30"/>
      <c r="V125" s="50"/>
      <c r="W125" s="82"/>
      <c r="X125"/>
      <c r="Y125" s="252"/>
      <c r="Z125"/>
      <c r="AA125"/>
      <c r="AB125"/>
      <c r="AC125" s="30"/>
      <c r="AD125"/>
      <c r="AE125" s="82"/>
      <c r="AF125"/>
      <c r="AG125" s="252"/>
      <c r="AH125"/>
      <c r="AI125"/>
      <c r="AJ125"/>
      <c r="AK125"/>
    </row>
    <row r="126" spans="1:37" s="173" customFormat="1" x14ac:dyDescent="0.35">
      <c r="A126" s="35"/>
      <c r="B126"/>
      <c r="C126"/>
      <c r="D126"/>
      <c r="E126"/>
      <c r="F126" s="191"/>
      <c r="G126"/>
      <c r="H126"/>
      <c r="I126"/>
      <c r="J126"/>
      <c r="K126"/>
      <c r="L126"/>
      <c r="M126"/>
      <c r="N126" s="191"/>
      <c r="O126"/>
      <c r="P126"/>
      <c r="Q126" s="298"/>
      <c r="S126" s="376" t="s">
        <v>165</v>
      </c>
      <c r="T126" s="377"/>
      <c r="U126" s="377"/>
      <c r="V126" s="377"/>
      <c r="W126" s="377"/>
      <c r="X126" s="377"/>
      <c r="Y126" s="378"/>
      <c r="Z126"/>
      <c r="AA126"/>
      <c r="AB126"/>
      <c r="AC126" s="30"/>
      <c r="AD126"/>
      <c r="AE126" s="82"/>
      <c r="AF126"/>
      <c r="AG126" s="252"/>
      <c r="AH126"/>
      <c r="AI126"/>
      <c r="AJ126"/>
      <c r="AK126"/>
    </row>
    <row r="127" spans="1:37" s="173" customFormat="1" x14ac:dyDescent="0.35">
      <c r="A127" s="35"/>
      <c r="B127" s="31"/>
      <c r="C127"/>
      <c r="D127"/>
      <c r="E127"/>
      <c r="F127" s="191"/>
      <c r="G127"/>
      <c r="H127"/>
      <c r="I127"/>
      <c r="J127"/>
      <c r="K127"/>
      <c r="L127"/>
      <c r="M127"/>
      <c r="N127" s="191"/>
      <c r="O127"/>
      <c r="P127"/>
      <c r="Q127" s="298"/>
      <c r="S127" s="62"/>
      <c r="T127" s="45" t="s">
        <v>82</v>
      </c>
      <c r="U127" s="32" t="s">
        <v>226</v>
      </c>
      <c r="V127" s="49" t="s">
        <v>145</v>
      </c>
      <c r="W127" s="159" t="s">
        <v>83</v>
      </c>
      <c r="X127" s="32" t="s">
        <v>143</v>
      </c>
      <c r="Y127" s="257" t="s">
        <v>110</v>
      </c>
      <c r="Z127" s="31"/>
      <c r="AA127" s="31"/>
      <c r="AB127" s="31"/>
      <c r="AC127" s="158"/>
      <c r="AD127" s="31"/>
      <c r="AE127" s="160"/>
      <c r="AF127" s="31"/>
      <c r="AG127" s="260"/>
      <c r="AH127"/>
      <c r="AI127"/>
      <c r="AJ127"/>
      <c r="AK127"/>
    </row>
    <row r="128" spans="1:37" s="173" customFormat="1" x14ac:dyDescent="0.35">
      <c r="A128" s="35"/>
      <c r="B128" s="31"/>
      <c r="C128"/>
      <c r="D128"/>
      <c r="E128"/>
      <c r="F128" s="191"/>
      <c r="G128"/>
      <c r="H128"/>
      <c r="I128"/>
      <c r="J128"/>
      <c r="K128"/>
      <c r="L128"/>
      <c r="M128"/>
      <c r="N128" s="191"/>
      <c r="O128"/>
      <c r="P128"/>
      <c r="Q128" s="298"/>
      <c r="S128" s="63" t="s">
        <v>273</v>
      </c>
      <c r="T128" s="53">
        <f>D78</f>
        <v>297.66653702500014</v>
      </c>
      <c r="U128" s="157">
        <f>(W128-AE116)/AE116</f>
        <v>0.37500000000000006</v>
      </c>
      <c r="V128" s="57">
        <f>F78*1.5</f>
        <v>0.16916649750000007</v>
      </c>
      <c r="W128" s="83">
        <f>V128*T128</f>
        <v>50.355205491473363</v>
      </c>
      <c r="X128" s="58">
        <v>0.02</v>
      </c>
      <c r="Y128" s="258">
        <f>X128*W128*1000000</f>
        <v>1007104.1098294673</v>
      </c>
      <c r="Z128" s="31"/>
      <c r="AA128" s="31"/>
      <c r="AB128" s="31"/>
      <c r="AC128" s="32"/>
      <c r="AD128" s="31"/>
      <c r="AE128" s="159"/>
      <c r="AF128" s="31"/>
      <c r="AG128" s="260"/>
      <c r="AH128"/>
      <c r="AI128"/>
      <c r="AJ128"/>
      <c r="AK128"/>
    </row>
    <row r="129" spans="1:37" s="173" customFormat="1" x14ac:dyDescent="0.35">
      <c r="A129" s="35"/>
      <c r="B129"/>
      <c r="C129"/>
      <c r="D129"/>
      <c r="E129"/>
      <c r="F129" s="191"/>
      <c r="G129"/>
      <c r="H129"/>
      <c r="I129"/>
      <c r="J129"/>
      <c r="K129"/>
      <c r="L129"/>
      <c r="M129"/>
      <c r="N129" s="191"/>
      <c r="O129"/>
      <c r="P129"/>
      <c r="Q129" s="298"/>
      <c r="S129" s="63" t="s">
        <v>274</v>
      </c>
      <c r="T129" s="53">
        <f>D80</f>
        <v>1943.1530370738292</v>
      </c>
      <c r="U129" s="157">
        <f t="shared" ref="U129:U135" si="76">(W129-AE117)/AE117</f>
        <v>0.46999999999999981</v>
      </c>
      <c r="V129" s="57">
        <f>F80*1.5</f>
        <v>0.65895113195519994</v>
      </c>
      <c r="W129" s="83">
        <f t="shared" ref="W129:W135" si="77">V129*T129</f>
        <v>1280.4428933419842</v>
      </c>
      <c r="X129" s="60">
        <f>X128</f>
        <v>0.02</v>
      </c>
      <c r="Y129" s="258">
        <f t="shared" ref="Y129:Y135" si="78">X129*W129*1000000</f>
        <v>25608857.866839685</v>
      </c>
      <c r="Z129"/>
      <c r="AA129"/>
      <c r="AB129"/>
      <c r="AC129" s="30"/>
      <c r="AD129"/>
      <c r="AE129" s="82"/>
      <c r="AF129"/>
      <c r="AG129" s="252"/>
      <c r="AH129"/>
      <c r="AI129"/>
      <c r="AJ129"/>
      <c r="AK129"/>
    </row>
    <row r="130" spans="1:37" s="173" customFormat="1" x14ac:dyDescent="0.35">
      <c r="A130" s="35"/>
      <c r="B130"/>
      <c r="C130"/>
      <c r="D130"/>
      <c r="E130"/>
      <c r="F130" s="191"/>
      <c r="G130"/>
      <c r="H130"/>
      <c r="I130"/>
      <c r="J130"/>
      <c r="K130"/>
      <c r="L130"/>
      <c r="M130"/>
      <c r="N130" s="191"/>
      <c r="O130"/>
      <c r="P130"/>
      <c r="Q130" s="298"/>
      <c r="S130" s="64" t="s">
        <v>35</v>
      </c>
      <c r="T130" s="53">
        <f>D79</f>
        <v>607.01910038415394</v>
      </c>
      <c r="U130" s="157">
        <f t="shared" si="76"/>
        <v>0.51200000000000001</v>
      </c>
      <c r="V130" s="57">
        <f>F79*1.5</f>
        <v>0.66527999999999987</v>
      </c>
      <c r="W130" s="83">
        <f t="shared" si="77"/>
        <v>403.83766710356986</v>
      </c>
      <c r="X130" s="60">
        <f t="shared" ref="X130:X135" si="79">X129</f>
        <v>0.02</v>
      </c>
      <c r="Y130" s="258">
        <f t="shared" si="78"/>
        <v>8076753.3420713972</v>
      </c>
      <c r="Z130"/>
      <c r="AA130"/>
      <c r="AB130"/>
      <c r="AC130" s="30"/>
      <c r="AD130"/>
      <c r="AE130" s="82"/>
      <c r="AF130"/>
      <c r="AG130" s="252"/>
      <c r="AH130"/>
      <c r="AI130"/>
      <c r="AJ130"/>
      <c r="AK130"/>
    </row>
    <row r="131" spans="1:37" s="173" customFormat="1" x14ac:dyDescent="0.35">
      <c r="A131" s="35"/>
      <c r="B131"/>
      <c r="C131"/>
      <c r="D131"/>
      <c r="E131"/>
      <c r="F131" s="191"/>
      <c r="G131"/>
      <c r="H131"/>
      <c r="I131"/>
      <c r="J131"/>
      <c r="K131"/>
      <c r="L131"/>
      <c r="M131"/>
      <c r="N131" s="191"/>
      <c r="O131"/>
      <c r="P131"/>
      <c r="Q131" s="298"/>
      <c r="S131" s="64" t="s">
        <v>58</v>
      </c>
      <c r="T131" s="53">
        <f>D81</f>
        <v>8378.0342914346602</v>
      </c>
      <c r="U131" s="157">
        <f t="shared" si="76"/>
        <v>0.47</v>
      </c>
      <c r="V131" s="57">
        <f>F81*1.5</f>
        <v>0.19656000000000001</v>
      </c>
      <c r="W131" s="83">
        <f t="shared" si="77"/>
        <v>1646.7864203243969</v>
      </c>
      <c r="X131" s="60">
        <f t="shared" si="79"/>
        <v>0.02</v>
      </c>
      <c r="Y131" s="258">
        <f t="shared" si="78"/>
        <v>32935728.406487938</v>
      </c>
      <c r="Z131"/>
      <c r="AA131"/>
      <c r="AB131"/>
      <c r="AC131" s="30"/>
      <c r="AD131"/>
      <c r="AE131" s="82"/>
      <c r="AF131"/>
      <c r="AG131" s="252"/>
      <c r="AH131"/>
      <c r="AI131"/>
      <c r="AJ131"/>
      <c r="AK131"/>
    </row>
    <row r="132" spans="1:37" s="173" customFormat="1" x14ac:dyDescent="0.35">
      <c r="A132" s="35"/>
      <c r="B132"/>
      <c r="C132"/>
      <c r="D132"/>
      <c r="E132"/>
      <c r="F132" s="191"/>
      <c r="G132"/>
      <c r="H132"/>
      <c r="I132"/>
      <c r="J132"/>
      <c r="K132"/>
      <c r="L132"/>
      <c r="M132"/>
      <c r="N132" s="191"/>
      <c r="O132"/>
      <c r="P132"/>
      <c r="Q132" s="298"/>
      <c r="S132" s="64" t="s">
        <v>62</v>
      </c>
      <c r="T132" s="53">
        <f>D82</f>
        <v>264.42958623046883</v>
      </c>
      <c r="U132" s="157">
        <f t="shared" si="76"/>
        <v>0.47</v>
      </c>
      <c r="V132" s="57">
        <f>F82*1.5</f>
        <v>7.4256000000000003E-2</v>
      </c>
      <c r="W132" s="83">
        <f t="shared" si="77"/>
        <v>19.635483355129693</v>
      </c>
      <c r="X132" s="60">
        <f t="shared" si="79"/>
        <v>0.02</v>
      </c>
      <c r="Y132" s="258">
        <f t="shared" si="78"/>
        <v>392709.66710259387</v>
      </c>
      <c r="Z132"/>
      <c r="AA132"/>
      <c r="AB132"/>
      <c r="AC132" s="30"/>
      <c r="AD132"/>
      <c r="AE132" s="82"/>
      <c r="AF132"/>
      <c r="AG132" s="252"/>
      <c r="AH132"/>
      <c r="AI132"/>
      <c r="AJ132"/>
      <c r="AK132"/>
    </row>
    <row r="133" spans="1:37" s="173" customFormat="1" x14ac:dyDescent="0.35">
      <c r="A133" s="35"/>
      <c r="B133"/>
      <c r="C133"/>
      <c r="D133"/>
      <c r="E133"/>
      <c r="F133" s="191"/>
      <c r="G133"/>
      <c r="H133"/>
      <c r="I133"/>
      <c r="J133"/>
      <c r="K133"/>
      <c r="L133"/>
      <c r="M133"/>
      <c r="N133" s="191"/>
      <c r="O133"/>
      <c r="P133"/>
      <c r="Q133" s="298"/>
      <c r="S133" s="64" t="s">
        <v>204</v>
      </c>
      <c r="T133" s="53">
        <f>D83</f>
        <v>2277.8275651523445</v>
      </c>
      <c r="U133" s="157">
        <f t="shared" si="76"/>
        <v>0.46999999999999986</v>
      </c>
      <c r="V133" s="57">
        <f>F83*1.5</f>
        <v>0.27562500000000001</v>
      </c>
      <c r="W133" s="83">
        <f t="shared" si="77"/>
        <v>627.82622264511497</v>
      </c>
      <c r="X133" s="60">
        <f t="shared" si="79"/>
        <v>0.02</v>
      </c>
      <c r="Y133" s="258">
        <f t="shared" si="78"/>
        <v>12556524.4529023</v>
      </c>
      <c r="Z133"/>
      <c r="AA133"/>
      <c r="AB133"/>
      <c r="AC133" s="30"/>
      <c r="AD133"/>
      <c r="AE133" s="82"/>
      <c r="AF133"/>
      <c r="AG133" s="252"/>
      <c r="AH133"/>
      <c r="AI133"/>
      <c r="AJ133"/>
      <c r="AK133"/>
    </row>
    <row r="134" spans="1:37" s="173" customFormat="1" x14ac:dyDescent="0.35">
      <c r="A134" s="35"/>
      <c r="B134"/>
      <c r="C134"/>
      <c r="D134"/>
      <c r="E134"/>
      <c r="F134" s="191"/>
      <c r="G134"/>
      <c r="H134"/>
      <c r="I134"/>
      <c r="J134"/>
      <c r="K134"/>
      <c r="L134"/>
      <c r="M134"/>
      <c r="N134" s="191"/>
      <c r="O134"/>
      <c r="P134"/>
      <c r="Q134" s="298"/>
      <c r="S134" s="64" t="s">
        <v>207</v>
      </c>
      <c r="T134" s="53">
        <f>D84</f>
        <v>104.52745996875002</v>
      </c>
      <c r="U134" s="157">
        <f t="shared" si="76"/>
        <v>0.46999999999999992</v>
      </c>
      <c r="V134" s="57">
        <f>F84*1.5</f>
        <v>0.57657599999999998</v>
      </c>
      <c r="W134" s="83">
        <f t="shared" si="77"/>
        <v>60.268024758942012</v>
      </c>
      <c r="X134" s="60">
        <f t="shared" si="79"/>
        <v>0.02</v>
      </c>
      <c r="Y134" s="258">
        <f t="shared" si="78"/>
        <v>1205360.4951788404</v>
      </c>
      <c r="Z134"/>
      <c r="AA134"/>
      <c r="AB134"/>
      <c r="AC134" s="30"/>
      <c r="AD134"/>
      <c r="AE134" s="82"/>
      <c r="AF134"/>
      <c r="AG134" s="252"/>
      <c r="AH134"/>
      <c r="AI134"/>
      <c r="AJ134"/>
      <c r="AK134"/>
    </row>
    <row r="135" spans="1:37" s="173" customFormat="1" x14ac:dyDescent="0.35">
      <c r="A135" s="35"/>
      <c r="B135"/>
      <c r="C135"/>
      <c r="D135"/>
      <c r="E135"/>
      <c r="F135" s="191"/>
      <c r="G135"/>
      <c r="H135"/>
      <c r="I135"/>
      <c r="J135"/>
      <c r="K135"/>
      <c r="L135"/>
      <c r="M135"/>
      <c r="N135" s="191"/>
      <c r="O135"/>
      <c r="P135"/>
      <c r="Q135" s="298"/>
      <c r="S135" s="64" t="s">
        <v>215</v>
      </c>
      <c r="T135" s="53">
        <f>D85</f>
        <v>8226.8337368404718</v>
      </c>
      <c r="U135" s="157">
        <f t="shared" si="76"/>
        <v>0.46999999999999964</v>
      </c>
      <c r="V135" s="57">
        <f>F85*1.5</f>
        <v>9.525599999999998E-2</v>
      </c>
      <c r="W135" s="83">
        <f t="shared" si="77"/>
        <v>783.65527443647579</v>
      </c>
      <c r="X135" s="60">
        <f t="shared" si="79"/>
        <v>0.02</v>
      </c>
      <c r="Y135" s="258">
        <f t="shared" si="78"/>
        <v>15673105.488729516</v>
      </c>
      <c r="Z135"/>
      <c r="AA135"/>
      <c r="AB135"/>
      <c r="AC135" s="30"/>
      <c r="AD135"/>
      <c r="AE135" s="82"/>
      <c r="AF135"/>
      <c r="AG135" s="252"/>
      <c r="AH135"/>
      <c r="AI135"/>
      <c r="AJ135"/>
      <c r="AK135"/>
    </row>
    <row r="136" spans="1:37" s="173" customFormat="1" ht="15" thickBot="1" x14ac:dyDescent="0.4">
      <c r="A136" s="35"/>
      <c r="B136"/>
      <c r="C136"/>
      <c r="D136"/>
      <c r="E136"/>
      <c r="F136" s="191"/>
      <c r="G136"/>
      <c r="H136"/>
      <c r="I136"/>
      <c r="J136"/>
      <c r="K136"/>
      <c r="L136"/>
      <c r="M136"/>
      <c r="N136" s="191"/>
      <c r="O136"/>
      <c r="P136"/>
      <c r="Q136" s="298"/>
      <c r="S136" s="65" t="s">
        <v>116</v>
      </c>
      <c r="T136" s="90">
        <f>SUM(T128:T135)</f>
        <v>22099.491314109677</v>
      </c>
      <c r="U136" s="88"/>
      <c r="V136" s="67"/>
      <c r="W136" s="90"/>
      <c r="X136" s="28"/>
      <c r="Y136" s="259">
        <f>SUM(Y128:Y134)</f>
        <v>81783038.340412214</v>
      </c>
      <c r="Z136"/>
      <c r="AA136"/>
      <c r="AB136"/>
      <c r="AC136" s="30"/>
      <c r="AD136"/>
      <c r="AE136" s="82"/>
      <c r="AF136"/>
      <c r="AG136" s="252"/>
      <c r="AH136"/>
      <c r="AI136"/>
      <c r="AJ136"/>
      <c r="AK136"/>
    </row>
    <row r="137" spans="1:37" s="173" customFormat="1" x14ac:dyDescent="0.35">
      <c r="A137" s="35"/>
      <c r="B137"/>
      <c r="C137"/>
      <c r="D137"/>
      <c r="E137"/>
      <c r="F137" s="191"/>
      <c r="G137"/>
      <c r="H137"/>
      <c r="I137"/>
      <c r="J137"/>
      <c r="K137"/>
      <c r="L137"/>
      <c r="M137"/>
      <c r="N137" s="191"/>
      <c r="O137"/>
      <c r="P137"/>
      <c r="Q137" s="298"/>
      <c r="S137"/>
      <c r="T137"/>
      <c r="U137" s="30"/>
      <c r="V137"/>
      <c r="W137" s="82"/>
      <c r="X137"/>
      <c r="Y137" s="252"/>
      <c r="Z137"/>
      <c r="AA137"/>
      <c r="AB137"/>
      <c r="AC137" s="30"/>
      <c r="AD137"/>
      <c r="AE137" s="82"/>
      <c r="AF137"/>
      <c r="AG137" s="252"/>
      <c r="AH137"/>
      <c r="AI137"/>
      <c r="AJ137"/>
      <c r="AK137"/>
    </row>
    <row r="138" spans="1:37" s="173" customFormat="1" ht="14.5" hidden="1" customHeight="1" x14ac:dyDescent="0.35">
      <c r="A138" s="35"/>
      <c r="B138"/>
      <c r="C138"/>
      <c r="D138"/>
      <c r="E138"/>
      <c r="F138" s="191"/>
      <c r="G138"/>
      <c r="H138"/>
      <c r="I138"/>
      <c r="J138"/>
      <c r="K138"/>
      <c r="L138"/>
      <c r="M138"/>
      <c r="N138" s="191"/>
      <c r="O138"/>
      <c r="P138"/>
      <c r="Q138" s="298"/>
      <c r="S138"/>
      <c r="T138"/>
      <c r="U138" s="30"/>
      <c r="V138"/>
      <c r="W138" s="82"/>
      <c r="X138"/>
      <c r="Y138" s="252"/>
      <c r="Z138"/>
      <c r="AA138"/>
      <c r="AB138"/>
      <c r="AC138" s="30"/>
      <c r="AD138"/>
      <c r="AE138" s="82"/>
      <c r="AF138"/>
      <c r="AG138" s="252"/>
      <c r="AH138"/>
      <c r="AI138"/>
      <c r="AJ138"/>
      <c r="AK138"/>
    </row>
    <row r="139" spans="1:37" s="173" customFormat="1" ht="14.5" hidden="1" customHeight="1" x14ac:dyDescent="0.35">
      <c r="A139" s="35"/>
      <c r="B139"/>
      <c r="C139"/>
      <c r="D139"/>
      <c r="E139"/>
      <c r="F139" s="191"/>
      <c r="G139"/>
      <c r="H139"/>
      <c r="I139"/>
      <c r="J139"/>
      <c r="K139"/>
      <c r="L139"/>
      <c r="M139"/>
      <c r="N139" s="191"/>
      <c r="O139"/>
      <c r="P139"/>
      <c r="Q139" s="298"/>
      <c r="S139"/>
      <c r="T139"/>
      <c r="U139" s="30"/>
      <c r="V139"/>
      <c r="W139" s="82"/>
      <c r="X139"/>
      <c r="Y139" s="252"/>
      <c r="Z139"/>
      <c r="AA139"/>
      <c r="AB139"/>
      <c r="AC139" s="30"/>
      <c r="AD139"/>
      <c r="AE139" s="82"/>
      <c r="AF139"/>
      <c r="AG139" s="252"/>
      <c r="AH139"/>
      <c r="AI139"/>
      <c r="AJ139"/>
      <c r="AK139"/>
    </row>
    <row r="140" spans="1:37" s="173" customFormat="1" ht="29" hidden="1" customHeight="1" x14ac:dyDescent="0.35">
      <c r="A140" s="35"/>
      <c r="B140"/>
      <c r="C140"/>
      <c r="D140"/>
      <c r="E140"/>
      <c r="F140" s="191"/>
      <c r="G140"/>
      <c r="H140"/>
      <c r="I140"/>
      <c r="J140"/>
      <c r="K140"/>
      <c r="L140"/>
      <c r="M140"/>
      <c r="N140" s="191"/>
      <c r="O140"/>
      <c r="P140"/>
      <c r="Q140" s="298"/>
      <c r="S140"/>
      <c r="T140"/>
      <c r="U140" s="30"/>
      <c r="V140"/>
      <c r="W140" s="82"/>
      <c r="X140"/>
      <c r="Y140" s="252"/>
      <c r="Z140"/>
      <c r="AA140"/>
      <c r="AB140"/>
      <c r="AC140" s="30"/>
      <c r="AD140"/>
      <c r="AE140" s="82"/>
      <c r="AF140"/>
      <c r="AG140" s="252"/>
      <c r="AH140"/>
      <c r="AI140"/>
      <c r="AJ140"/>
      <c r="AK140"/>
    </row>
    <row r="141" spans="1:37" x14ac:dyDescent="0.35">
      <c r="B141" s="268"/>
      <c r="C141" s="269"/>
      <c r="D141" s="270"/>
      <c r="E141" s="269"/>
      <c r="I141" s="271"/>
      <c r="K141" s="231"/>
      <c r="Q141" s="305"/>
      <c r="S141" s="38"/>
      <c r="T141" s="50"/>
      <c r="U141" s="38"/>
      <c r="Y141" s="256"/>
      <c r="AA141" s="82"/>
      <c r="AC141"/>
      <c r="AG141" s="256"/>
    </row>
    <row r="142" spans="1:37" x14ac:dyDescent="0.35">
      <c r="B142" s="268"/>
      <c r="C142" s="269"/>
      <c r="D142" s="270"/>
      <c r="E142" s="269"/>
      <c r="I142" s="271"/>
      <c r="K142" s="231"/>
      <c r="Q142" s="305"/>
      <c r="S142" s="38"/>
      <c r="T142" s="50"/>
      <c r="U142" s="38"/>
      <c r="Y142" s="256"/>
      <c r="AA142" s="82"/>
      <c r="AC142"/>
      <c r="AG142" s="256"/>
    </row>
    <row r="143" spans="1:37" x14ac:dyDescent="0.35">
      <c r="S143" s="38"/>
      <c r="T143" s="50"/>
      <c r="U143" s="38"/>
      <c r="Y143" s="256"/>
      <c r="AA143" s="82"/>
      <c r="AC143"/>
      <c r="AG143" s="256"/>
    </row>
    <row r="144" spans="1:37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</sheetData>
  <mergeCells count="60">
    <mergeCell ref="K37:Q37"/>
    <mergeCell ref="S37:Y37"/>
    <mergeCell ref="AA37:AG37"/>
    <mergeCell ref="C50:I50"/>
    <mergeCell ref="K50:Q50"/>
    <mergeCell ref="S50:Y50"/>
    <mergeCell ref="AA50:AG50"/>
    <mergeCell ref="S126:Y126"/>
    <mergeCell ref="C36:D36"/>
    <mergeCell ref="S90:Y90"/>
    <mergeCell ref="AA90:AG90"/>
    <mergeCell ref="S102:Y102"/>
    <mergeCell ref="AA102:AG102"/>
    <mergeCell ref="S114:Y114"/>
    <mergeCell ref="AA114:AG114"/>
    <mergeCell ref="C63:I63"/>
    <mergeCell ref="K63:Q63"/>
    <mergeCell ref="S63:Y63"/>
    <mergeCell ref="AA63:AG63"/>
    <mergeCell ref="C76:I76"/>
    <mergeCell ref="S76:Y76"/>
    <mergeCell ref="S36:T36"/>
    <mergeCell ref="C37:I37"/>
    <mergeCell ref="J27:K27"/>
    <mergeCell ref="N13:O13"/>
    <mergeCell ref="N14:O14"/>
    <mergeCell ref="F14:G14"/>
    <mergeCell ref="F13:G13"/>
    <mergeCell ref="H13:I13"/>
    <mergeCell ref="H14:I14"/>
    <mergeCell ref="P14:Q14"/>
    <mergeCell ref="C4:D4"/>
    <mergeCell ref="C5:D5"/>
    <mergeCell ref="C6:D6"/>
    <mergeCell ref="C7:D7"/>
    <mergeCell ref="C8:D8"/>
    <mergeCell ref="C9:D9"/>
    <mergeCell ref="E6:F6"/>
    <mergeCell ref="E7:F7"/>
    <mergeCell ref="J14:K14"/>
    <mergeCell ref="J13:K13"/>
    <mergeCell ref="L13:M13"/>
    <mergeCell ref="L14:M14"/>
    <mergeCell ref="E5:F5"/>
    <mergeCell ref="C2:D2"/>
    <mergeCell ref="C3:D3"/>
    <mergeCell ref="E2:F2"/>
    <mergeCell ref="E3:F3"/>
    <mergeCell ref="P13:Q13"/>
    <mergeCell ref="G7:H7"/>
    <mergeCell ref="G8:H8"/>
    <mergeCell ref="G9:H9"/>
    <mergeCell ref="E4:F4"/>
    <mergeCell ref="G2:H2"/>
    <mergeCell ref="G3:H3"/>
    <mergeCell ref="G4:H4"/>
    <mergeCell ref="G5:H5"/>
    <mergeCell ref="G6:H6"/>
    <mergeCell ref="E8:F8"/>
    <mergeCell ref="E9:F9"/>
  </mergeCells>
  <conditionalFormatting sqref="AA47:AA48">
    <cfRule type="duplicateValues" dxfId="1" priority="1"/>
  </conditionalFormatting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FF1B3-A3E3-42AD-B88B-B188437F33AB}">
  <dimension ref="A1:AK123"/>
  <sheetViews>
    <sheetView topLeftCell="A4" zoomScale="85" zoomScaleNormal="85" workbookViewId="0">
      <selection activeCell="F15" sqref="F15"/>
    </sheetView>
  </sheetViews>
  <sheetFormatPr defaultColWidth="0" defaultRowHeight="14.5" zeroHeight="1" x14ac:dyDescent="0.35"/>
  <cols>
    <col min="1" max="1" width="3.54296875" style="35" customWidth="1"/>
    <col min="2" max="2" width="8.54296875" style="29" customWidth="1"/>
    <col min="3" max="3" width="15.453125" style="38" customWidth="1"/>
    <col min="4" max="4" width="16.36328125" style="50" customWidth="1"/>
    <col min="5" max="5" width="16" style="38" customWidth="1"/>
    <col min="6" max="6" width="9.453125" customWidth="1"/>
    <col min="7" max="7" width="11.1796875" customWidth="1"/>
    <col min="8" max="8" width="8.6328125" customWidth="1"/>
    <col min="9" max="9" width="15.453125" style="30" customWidth="1"/>
    <col min="10" max="10" width="3" customWidth="1"/>
    <col min="11" max="11" width="11.6328125" style="82" customWidth="1"/>
    <col min="12" max="12" width="11.90625" customWidth="1"/>
    <col min="13" max="13" width="9.6328125" customWidth="1"/>
    <col min="14" max="14" width="8.54296875" customWidth="1"/>
    <col min="15" max="15" width="11.08984375" customWidth="1"/>
    <col min="16" max="16" width="7.90625" customWidth="1"/>
    <col min="17" max="17" width="15.36328125" style="30" customWidth="1"/>
    <col min="18" max="18" width="2.7265625" style="173" customWidth="1"/>
    <col min="19" max="19" width="10.453125" customWidth="1"/>
    <col min="20" max="20" width="12.08984375" customWidth="1"/>
    <col min="21" max="21" width="6.7265625" style="30" customWidth="1"/>
    <col min="22" max="22" width="8.6328125" customWidth="1"/>
    <col min="23" max="23" width="7.26953125" customWidth="1"/>
    <col min="24" max="24" width="7.08984375" customWidth="1"/>
    <col min="25" max="25" width="12.81640625" customWidth="1"/>
    <col min="26" max="26" width="2.453125" customWidth="1"/>
    <col min="27" max="27" width="10.1796875" style="165" customWidth="1"/>
    <col min="28" max="28" width="11.81640625" customWidth="1"/>
    <col min="29" max="29" width="8.36328125" style="30" customWidth="1"/>
    <col min="30" max="31" width="9.1796875" customWidth="1"/>
    <col min="32" max="32" width="7.453125" customWidth="1"/>
    <col min="33" max="33" width="14.08984375" customWidth="1"/>
    <col min="34" max="34" width="9.1796875" customWidth="1"/>
    <col min="35" max="36" width="9.1796875" hidden="1" customWidth="1"/>
    <col min="37" max="37" width="0" hidden="1" customWidth="1"/>
    <col min="38" max="16384" width="9.1796875" hidden="1"/>
  </cols>
  <sheetData>
    <row r="1" spans="2:33" ht="30.75" customHeight="1" thickBot="1" x14ac:dyDescent="0.4">
      <c r="B1" s="73" t="s">
        <v>151</v>
      </c>
    </row>
    <row r="2" spans="2:33" x14ac:dyDescent="0.35">
      <c r="B2" s="74"/>
      <c r="C2" s="79" t="s">
        <v>146</v>
      </c>
      <c r="D2" s="80" t="s">
        <v>150</v>
      </c>
      <c r="E2" s="81" t="s">
        <v>147</v>
      </c>
    </row>
    <row r="3" spans="2:33" x14ac:dyDescent="0.35">
      <c r="B3" s="62" t="s">
        <v>142</v>
      </c>
      <c r="C3" s="29">
        <f>Y23</f>
        <v>0</v>
      </c>
      <c r="D3" s="29">
        <f>I23</f>
        <v>3528525</v>
      </c>
      <c r="E3" s="75">
        <f>I75</f>
        <v>588087.50000000012</v>
      </c>
    </row>
    <row r="4" spans="2:33" ht="16.5" customHeight="1" x14ac:dyDescent="0.35">
      <c r="B4" s="62" t="s">
        <v>149</v>
      </c>
      <c r="C4" s="29">
        <f>AG23</f>
        <v>15977575.640727276</v>
      </c>
      <c r="D4" s="29">
        <f>Q23</f>
        <v>31955151.281454552</v>
      </c>
      <c r="E4" s="75">
        <f>Q75</f>
        <v>47932726.922181822</v>
      </c>
    </row>
    <row r="5" spans="2:33" ht="15.75" customHeight="1" x14ac:dyDescent="0.35">
      <c r="B5" s="62" t="s">
        <v>80</v>
      </c>
      <c r="C5" s="29" t="e">
        <f>Y36</f>
        <v>#REF!</v>
      </c>
      <c r="D5" s="29" t="e">
        <f>I36</f>
        <v>#REF!</v>
      </c>
      <c r="E5" s="75" t="e">
        <f>I87</f>
        <v>#REF!</v>
      </c>
    </row>
    <row r="6" spans="2:33" ht="15" customHeight="1" x14ac:dyDescent="0.35">
      <c r="B6" s="62" t="s">
        <v>81</v>
      </c>
      <c r="C6" s="29" t="e">
        <f>AG36</f>
        <v>#REF!</v>
      </c>
      <c r="D6" s="29" t="e">
        <f>Q36</f>
        <v>#REF!</v>
      </c>
      <c r="E6" s="75" t="e">
        <f>Q87</f>
        <v>#REF!</v>
      </c>
    </row>
    <row r="7" spans="2:33" x14ac:dyDescent="0.35">
      <c r="B7" s="62" t="s">
        <v>84</v>
      </c>
      <c r="C7" s="29" t="e">
        <f>Y49</f>
        <v>#REF!</v>
      </c>
      <c r="D7" s="29" t="e">
        <f>I49</f>
        <v>#REF!</v>
      </c>
      <c r="E7" s="75" t="e">
        <f>I99</f>
        <v>#REF!</v>
      </c>
    </row>
    <row r="8" spans="2:33" x14ac:dyDescent="0.35">
      <c r="B8" s="62" t="s">
        <v>85</v>
      </c>
      <c r="C8" s="29">
        <f>AG49</f>
        <v>158164957.2690053</v>
      </c>
      <c r="D8" s="29" t="e">
        <f>Q49</f>
        <v>#REF!</v>
      </c>
      <c r="E8" s="75" t="e">
        <f>Q99</f>
        <v>#REF!</v>
      </c>
    </row>
    <row r="9" spans="2:33" ht="13.5" customHeight="1" thickBot="1" x14ac:dyDescent="0.4">
      <c r="B9" s="76" t="s">
        <v>86</v>
      </c>
      <c r="C9" s="77" t="e">
        <f>Y61</f>
        <v>#REF!</v>
      </c>
      <c r="D9" s="77" t="e">
        <f>I63</f>
        <v>#REF!</v>
      </c>
      <c r="E9" s="78" t="e">
        <f>I111</f>
        <v>#REF!</v>
      </c>
    </row>
    <row r="10" spans="2:33" ht="13.5" customHeight="1" x14ac:dyDescent="0.35">
      <c r="B10" s="171"/>
      <c r="C10" s="29"/>
      <c r="D10" s="29"/>
      <c r="E10" s="29"/>
    </row>
    <row r="11" spans="2:33" ht="18.75" customHeight="1" thickBot="1" x14ac:dyDescent="0.4">
      <c r="B11" s="41" t="s">
        <v>148</v>
      </c>
      <c r="C11" s="43"/>
      <c r="D11" s="44"/>
      <c r="E11" s="156"/>
      <c r="F11" s="48"/>
      <c r="G11" s="161"/>
      <c r="H11" s="43"/>
      <c r="I11" s="43"/>
      <c r="J11" s="43"/>
      <c r="K11" s="43"/>
      <c r="M11" s="30"/>
      <c r="N11" s="31"/>
      <c r="O11" s="82"/>
      <c r="Q11"/>
      <c r="R11" s="174"/>
      <c r="S11" s="380" t="s">
        <v>146</v>
      </c>
      <c r="T11" s="380"/>
      <c r="U11" s="172"/>
      <c r="V11" s="48"/>
      <c r="W11" s="44"/>
      <c r="X11" s="43"/>
      <c r="Y11" s="43"/>
      <c r="Z11" s="43"/>
      <c r="AA11" s="34"/>
      <c r="AD11" s="31"/>
    </row>
    <row r="12" spans="2:33" x14ac:dyDescent="0.35">
      <c r="B12" s="34"/>
      <c r="C12" s="376" t="s">
        <v>221</v>
      </c>
      <c r="D12" s="377"/>
      <c r="E12" s="377"/>
      <c r="F12" s="377"/>
      <c r="G12" s="377"/>
      <c r="H12" s="377"/>
      <c r="I12" s="378"/>
      <c r="J12" s="61"/>
      <c r="K12" s="376" t="s">
        <v>220</v>
      </c>
      <c r="L12" s="377"/>
      <c r="M12" s="377"/>
      <c r="N12" s="377"/>
      <c r="O12" s="377"/>
      <c r="P12" s="377"/>
      <c r="Q12" s="378"/>
      <c r="R12" s="175"/>
      <c r="S12" s="376" t="s">
        <v>149</v>
      </c>
      <c r="T12" s="377"/>
      <c r="U12" s="377"/>
      <c r="V12" s="377"/>
      <c r="W12" s="377"/>
      <c r="X12" s="377"/>
      <c r="Y12" s="378"/>
      <c r="Z12" s="61"/>
      <c r="AA12" s="376" t="s">
        <v>80</v>
      </c>
      <c r="AB12" s="377"/>
      <c r="AC12" s="377"/>
      <c r="AD12" s="377"/>
      <c r="AE12" s="377"/>
      <c r="AF12" s="377"/>
      <c r="AG12" s="378"/>
    </row>
    <row r="13" spans="2:33" x14ac:dyDescent="0.35">
      <c r="B13" s="31"/>
      <c r="C13" s="62"/>
      <c r="D13" s="45" t="s">
        <v>225</v>
      </c>
      <c r="E13" s="32" t="s">
        <v>226</v>
      </c>
      <c r="F13" s="49" t="s">
        <v>145</v>
      </c>
      <c r="G13" s="159" t="s">
        <v>83</v>
      </c>
      <c r="H13" s="32" t="s">
        <v>143</v>
      </c>
      <c r="I13" s="68" t="s">
        <v>166</v>
      </c>
      <c r="J13" s="55"/>
      <c r="K13" s="62"/>
      <c r="L13" s="45" t="s">
        <v>219</v>
      </c>
      <c r="M13" s="32" t="s">
        <v>226</v>
      </c>
      <c r="N13" s="49" t="s">
        <v>145</v>
      </c>
      <c r="O13" s="159" t="s">
        <v>83</v>
      </c>
      <c r="P13" s="32" t="s">
        <v>144</v>
      </c>
      <c r="Q13" s="68" t="s">
        <v>110</v>
      </c>
      <c r="R13" s="101"/>
      <c r="S13" s="62"/>
      <c r="T13" s="45" t="s">
        <v>82</v>
      </c>
      <c r="U13" s="32" t="s">
        <v>226</v>
      </c>
      <c r="V13" s="49" t="s">
        <v>145</v>
      </c>
      <c r="W13" s="51" t="s">
        <v>83</v>
      </c>
      <c r="X13" s="32" t="s">
        <v>143</v>
      </c>
      <c r="Y13" s="68" t="s">
        <v>110</v>
      </c>
      <c r="Z13" s="55"/>
      <c r="AA13" s="166"/>
      <c r="AB13" s="45" t="s">
        <v>82</v>
      </c>
      <c r="AC13" s="32" t="s">
        <v>226</v>
      </c>
      <c r="AD13" s="49" t="s">
        <v>145</v>
      </c>
      <c r="AE13" s="51" t="s">
        <v>83</v>
      </c>
      <c r="AF13" s="32" t="s">
        <v>144</v>
      </c>
      <c r="AG13" s="68" t="s">
        <v>110</v>
      </c>
    </row>
    <row r="14" spans="2:33" ht="19.5" customHeight="1" x14ac:dyDescent="0.35">
      <c r="B14" s="35"/>
      <c r="C14" s="63" t="s">
        <v>273</v>
      </c>
      <c r="D14" s="53">
        <f>' TAM &amp; SOM'!F5</f>
        <v>6721</v>
      </c>
      <c r="E14" s="157"/>
      <c r="F14" s="50">
        <v>0.03</v>
      </c>
      <c r="G14" s="82">
        <f>F14*D14</f>
        <v>201.63</v>
      </c>
      <c r="H14" s="11">
        <v>1.7500000000000002E-2</v>
      </c>
      <c r="I14" s="69">
        <f>H14*G14*1000000</f>
        <v>3528525</v>
      </c>
      <c r="K14" s="63" t="s">
        <v>273</v>
      </c>
      <c r="L14" s="53">
        <f>' TAM &amp; SOM'!G5</f>
        <v>7393.1</v>
      </c>
      <c r="M14" s="157">
        <v>0.8</v>
      </c>
      <c r="N14" s="57">
        <f>F14*(1+M14)</f>
        <v>5.3999999999999999E-2</v>
      </c>
      <c r="O14" s="83">
        <f t="shared" ref="O14:O21" si="0">N14*L14</f>
        <v>399.22739999999999</v>
      </c>
      <c r="P14" s="58">
        <v>1.7500000000000002E-2</v>
      </c>
      <c r="Q14" s="71">
        <f>P14*O14*1000000</f>
        <v>6986479.5000000009</v>
      </c>
      <c r="R14" s="176"/>
      <c r="S14" s="63" t="s">
        <v>273</v>
      </c>
      <c r="T14" s="53">
        <f t="shared" ref="T14:T21" si="1">D14</f>
        <v>6721</v>
      </c>
      <c r="U14" s="157"/>
      <c r="V14" s="50">
        <v>0</v>
      </c>
      <c r="W14" s="38">
        <f>V14*T14</f>
        <v>0</v>
      </c>
      <c r="X14" s="11">
        <v>1.7500000000000002E-2</v>
      </c>
      <c r="Y14" s="69">
        <f>X14*W14*1000000</f>
        <v>0</v>
      </c>
      <c r="AA14" s="63" t="s">
        <v>273</v>
      </c>
      <c r="AB14" s="53">
        <f t="shared" ref="AB14:AB21" si="2">L14</f>
        <v>7393.1</v>
      </c>
      <c r="AC14" s="157">
        <v>1</v>
      </c>
      <c r="AD14" s="57">
        <f t="shared" ref="AD14:AD21" si="3">N14*0.5</f>
        <v>2.7E-2</v>
      </c>
      <c r="AE14" s="52">
        <f>AD14*AB14</f>
        <v>199.61369999999999</v>
      </c>
      <c r="AF14" s="58">
        <v>1.7500000000000002E-2</v>
      </c>
      <c r="AG14" s="71">
        <f>AF14*AE14*1000000</f>
        <v>3493239.7500000005</v>
      </c>
    </row>
    <row r="15" spans="2:33" ht="13.5" customHeight="1" x14ac:dyDescent="0.35">
      <c r="B15" s="39"/>
      <c r="C15" s="64" t="s">
        <v>35</v>
      </c>
      <c r="D15" s="53">
        <f>' TAM &amp; SOM'!F6</f>
        <v>217088.3</v>
      </c>
      <c r="E15" s="157" t="s">
        <v>227</v>
      </c>
      <c r="F15" s="56">
        <v>0</v>
      </c>
      <c r="G15" s="163"/>
      <c r="H15" s="11">
        <v>1.7500000000000002E-2</v>
      </c>
      <c r="I15" s="12"/>
      <c r="J15" s="36"/>
      <c r="K15" s="64" t="s">
        <v>35</v>
      </c>
      <c r="L15" s="53">
        <f>' TAM &amp; SOM'!G6</f>
        <v>234455.364</v>
      </c>
      <c r="M15" s="157">
        <v>0.25</v>
      </c>
      <c r="N15" s="59">
        <v>5.0000000000000002E-5</v>
      </c>
      <c r="O15" s="83">
        <f>N15*L15</f>
        <v>11.722768200000001</v>
      </c>
      <c r="P15" s="60">
        <v>1.7500000000000002E-2</v>
      </c>
      <c r="Q15" s="71">
        <f>P15*O15*1000000</f>
        <v>205148.44350000002</v>
      </c>
      <c r="R15" s="178"/>
      <c r="S15" s="64" t="s">
        <v>35</v>
      </c>
      <c r="T15" s="53">
        <f>D15</f>
        <v>217088.3</v>
      </c>
      <c r="U15" s="157"/>
      <c r="V15" s="56">
        <v>0</v>
      </c>
      <c r="W15" s="47"/>
      <c r="X15" s="11">
        <v>1.7500000000000002E-2</v>
      </c>
      <c r="Y15" s="12"/>
      <c r="Z15" s="36"/>
      <c r="AA15" s="167" t="s">
        <v>35</v>
      </c>
      <c r="AB15" s="53">
        <f>L15</f>
        <v>234455.364</v>
      </c>
      <c r="AC15" s="157">
        <v>1</v>
      </c>
      <c r="AD15" s="57">
        <f>N15*0.5</f>
        <v>2.5000000000000001E-5</v>
      </c>
      <c r="AE15" s="52">
        <f>AD15*AB15</f>
        <v>5.8613841000000004</v>
      </c>
      <c r="AF15" s="60">
        <v>1.7500000000000002E-2</v>
      </c>
      <c r="AG15" s="71">
        <f>AF15*AE15*1000000</f>
        <v>102574.22175000001</v>
      </c>
    </row>
    <row r="16" spans="2:33" ht="18" customHeight="1" x14ac:dyDescent="0.35">
      <c r="B16" s="42"/>
      <c r="C16" s="63" t="s">
        <v>274</v>
      </c>
      <c r="D16" s="53" t="e">
        <f>' TAM &amp; SOM'!C7+' TAM &amp; SOM'!#REF!</f>
        <v>#REF!</v>
      </c>
      <c r="E16" s="157" t="s">
        <v>227</v>
      </c>
      <c r="F16" s="56">
        <v>0</v>
      </c>
      <c r="G16" s="162"/>
      <c r="H16" s="11">
        <v>1.7500000000000002E-2</v>
      </c>
      <c r="I16" s="12"/>
      <c r="J16" s="42"/>
      <c r="K16" s="63" t="s">
        <v>274</v>
      </c>
      <c r="L16" s="53">
        <f>' TAM &amp; SOM'!G6</f>
        <v>234455.364</v>
      </c>
      <c r="M16" s="157">
        <v>0.8</v>
      </c>
      <c r="N16" s="56">
        <v>5.0000000000000001E-3</v>
      </c>
      <c r="O16" s="83">
        <f t="shared" si="0"/>
        <v>1172.27682</v>
      </c>
      <c r="P16" s="60">
        <v>1.7500000000000002E-2</v>
      </c>
      <c r="Q16" s="71">
        <f t="shared" ref="Q16:Q21" si="4">P16*O16*1000000</f>
        <v>20514844.350000005</v>
      </c>
      <c r="R16" s="177"/>
      <c r="S16" s="63" t="s">
        <v>274</v>
      </c>
      <c r="T16" s="53" t="e">
        <f t="shared" si="1"/>
        <v>#REF!</v>
      </c>
      <c r="U16" s="157"/>
      <c r="V16" s="56">
        <v>0</v>
      </c>
      <c r="W16" s="46"/>
      <c r="X16" s="11">
        <v>1.7500000000000002E-2</v>
      </c>
      <c r="Y16" s="12"/>
      <c r="Z16" s="42"/>
      <c r="AA16" s="63" t="s">
        <v>274</v>
      </c>
      <c r="AB16" s="53">
        <f t="shared" si="2"/>
        <v>234455.364</v>
      </c>
      <c r="AC16" s="157">
        <v>1</v>
      </c>
      <c r="AD16" s="57">
        <f t="shared" si="3"/>
        <v>2.5000000000000001E-3</v>
      </c>
      <c r="AE16" s="52">
        <f t="shared" ref="AE16:AE21" si="5">AD16*AB16</f>
        <v>586.13841000000002</v>
      </c>
      <c r="AF16" s="60">
        <v>1.7500000000000002E-2</v>
      </c>
      <c r="AG16" s="71">
        <f t="shared" ref="AG16:AG21" si="6">AF16*AE16*1000000</f>
        <v>10257422.175000003</v>
      </c>
    </row>
    <row r="17" spans="2:33" x14ac:dyDescent="0.35">
      <c r="B17" s="35"/>
      <c r="C17" s="64" t="s">
        <v>58</v>
      </c>
      <c r="D17" s="53">
        <f>' TAM &amp; SOM'!F8</f>
        <v>163509.09090909091</v>
      </c>
      <c r="E17" s="157" t="s">
        <v>227</v>
      </c>
      <c r="F17" s="56">
        <v>0</v>
      </c>
      <c r="G17" s="82"/>
      <c r="H17" s="11">
        <v>1.7500000000000002E-2</v>
      </c>
      <c r="I17" s="12"/>
      <c r="J17" s="35"/>
      <c r="K17" s="64" t="s">
        <v>58</v>
      </c>
      <c r="L17" s="53">
        <f>' TAM &amp; SOM'!G8</f>
        <v>171684.54545454547</v>
      </c>
      <c r="M17" s="157">
        <v>0.25</v>
      </c>
      <c r="N17" s="59">
        <v>1E-3</v>
      </c>
      <c r="O17" s="83">
        <f t="shared" si="0"/>
        <v>171.68454545454549</v>
      </c>
      <c r="P17" s="60">
        <v>1.7500000000000002E-2</v>
      </c>
      <c r="Q17" s="71">
        <f t="shared" si="4"/>
        <v>3004479.5454545463</v>
      </c>
      <c r="R17" s="176"/>
      <c r="S17" s="64" t="s">
        <v>58</v>
      </c>
      <c r="T17" s="53">
        <f t="shared" si="1"/>
        <v>163509.09090909091</v>
      </c>
      <c r="U17" s="157"/>
      <c r="V17" s="56">
        <v>0</v>
      </c>
      <c r="W17" s="38"/>
      <c r="X17" s="11">
        <v>1.7500000000000002E-2</v>
      </c>
      <c r="Y17" s="12"/>
      <c r="Z17" s="35"/>
      <c r="AA17" s="167" t="s">
        <v>58</v>
      </c>
      <c r="AB17" s="53">
        <f t="shared" si="2"/>
        <v>171684.54545454547</v>
      </c>
      <c r="AC17" s="157">
        <v>1</v>
      </c>
      <c r="AD17" s="57">
        <f t="shared" si="3"/>
        <v>5.0000000000000001E-4</v>
      </c>
      <c r="AE17" s="52">
        <f t="shared" si="5"/>
        <v>85.842272727272743</v>
      </c>
      <c r="AF17" s="60">
        <v>1.7500000000000002E-2</v>
      </c>
      <c r="AG17" s="71">
        <f t="shared" si="6"/>
        <v>1502239.7727272732</v>
      </c>
    </row>
    <row r="18" spans="2:33" x14ac:dyDescent="0.35">
      <c r="B18" s="36"/>
      <c r="C18" s="64" t="s">
        <v>62</v>
      </c>
      <c r="D18" s="53">
        <f>' TAM &amp; SOM'!F9</f>
        <v>5160.7142857142853</v>
      </c>
      <c r="E18" s="157" t="s">
        <v>227</v>
      </c>
      <c r="F18" s="56">
        <v>0</v>
      </c>
      <c r="G18" s="82"/>
      <c r="H18" s="11">
        <v>1.7500000000000002E-2</v>
      </c>
      <c r="I18" s="12"/>
      <c r="J18" s="36"/>
      <c r="K18" s="64" t="s">
        <v>62</v>
      </c>
      <c r="L18" s="53">
        <f>' TAM &amp; SOM'!G9</f>
        <v>5418.75</v>
      </c>
      <c r="M18" s="157">
        <v>0.25</v>
      </c>
      <c r="N18" s="59">
        <v>1E-3</v>
      </c>
      <c r="O18" s="83">
        <f t="shared" si="0"/>
        <v>5.4187500000000002</v>
      </c>
      <c r="P18" s="60">
        <v>1.7500000000000002E-2</v>
      </c>
      <c r="Q18" s="71">
        <f t="shared" si="4"/>
        <v>94828.125000000015</v>
      </c>
      <c r="R18" s="179"/>
      <c r="S18" s="64" t="s">
        <v>62</v>
      </c>
      <c r="T18" s="53">
        <f t="shared" si="1"/>
        <v>5160.7142857142853</v>
      </c>
      <c r="U18" s="157"/>
      <c r="V18" s="56">
        <v>0</v>
      </c>
      <c r="W18" s="38"/>
      <c r="X18" s="11">
        <v>1.7500000000000002E-2</v>
      </c>
      <c r="Y18" s="12"/>
      <c r="Z18" s="36"/>
      <c r="AA18" s="167" t="s">
        <v>62</v>
      </c>
      <c r="AB18" s="53">
        <f t="shared" si="2"/>
        <v>5418.75</v>
      </c>
      <c r="AC18" s="157">
        <v>1</v>
      </c>
      <c r="AD18" s="57">
        <f t="shared" si="3"/>
        <v>5.0000000000000001E-4</v>
      </c>
      <c r="AE18" s="52">
        <f t="shared" si="5"/>
        <v>2.7093750000000001</v>
      </c>
      <c r="AF18" s="60">
        <v>1.7500000000000002E-2</v>
      </c>
      <c r="AG18" s="71">
        <f t="shared" si="6"/>
        <v>47414.062500000007</v>
      </c>
    </row>
    <row r="19" spans="2:33" x14ac:dyDescent="0.35">
      <c r="B19" s="35"/>
      <c r="C19" s="64" t="s">
        <v>204</v>
      </c>
      <c r="D19" s="53">
        <f>' TAM &amp; SOM'!F10</f>
        <v>44455</v>
      </c>
      <c r="E19" s="157" t="s">
        <v>227</v>
      </c>
      <c r="F19" s="56">
        <v>0</v>
      </c>
      <c r="G19" s="82"/>
      <c r="H19" s="11">
        <v>1.7500000000000002E-2</v>
      </c>
      <c r="I19" s="12"/>
      <c r="J19" s="36"/>
      <c r="K19" s="64" t="s">
        <v>204</v>
      </c>
      <c r="L19" s="53">
        <f>' TAM &amp; SOM'!G10</f>
        <v>46677.75</v>
      </c>
      <c r="M19" s="157">
        <v>0.25</v>
      </c>
      <c r="N19" s="59">
        <v>1E-3</v>
      </c>
      <c r="O19" s="83">
        <f t="shared" si="0"/>
        <v>46.677750000000003</v>
      </c>
      <c r="P19" s="60">
        <v>1.7500000000000002E-2</v>
      </c>
      <c r="Q19" s="71">
        <f t="shared" si="4"/>
        <v>816860.62500000012</v>
      </c>
      <c r="R19" s="176"/>
      <c r="S19" s="64" t="s">
        <v>204</v>
      </c>
      <c r="T19" s="53">
        <f t="shared" si="1"/>
        <v>44455</v>
      </c>
      <c r="U19" s="157"/>
      <c r="V19" s="56">
        <v>0</v>
      </c>
      <c r="W19" s="38"/>
      <c r="X19" s="11">
        <v>1.7500000000000002E-2</v>
      </c>
      <c r="Y19" s="12"/>
      <c r="Z19" s="36"/>
      <c r="AA19" s="167" t="s">
        <v>204</v>
      </c>
      <c r="AB19" s="53">
        <f t="shared" si="2"/>
        <v>46677.75</v>
      </c>
      <c r="AC19" s="157">
        <v>1</v>
      </c>
      <c r="AD19" s="57">
        <f t="shared" si="3"/>
        <v>5.0000000000000001E-4</v>
      </c>
      <c r="AE19" s="52">
        <f t="shared" si="5"/>
        <v>23.338875000000002</v>
      </c>
      <c r="AF19" s="60">
        <v>1.7500000000000002E-2</v>
      </c>
      <c r="AG19" s="71">
        <f t="shared" si="6"/>
        <v>408430.31250000006</v>
      </c>
    </row>
    <row r="20" spans="2:33" ht="15" customHeight="1" x14ac:dyDescent="0.35">
      <c r="B20" s="36"/>
      <c r="C20" s="64" t="s">
        <v>207</v>
      </c>
      <c r="D20" s="53">
        <f>' TAM &amp; SOM'!F11</f>
        <v>2040</v>
      </c>
      <c r="E20" s="157" t="s">
        <v>227</v>
      </c>
      <c r="F20" s="56">
        <v>0</v>
      </c>
      <c r="G20" s="82"/>
      <c r="H20" s="11">
        <v>1.7500000000000002E-2</v>
      </c>
      <c r="I20" s="12"/>
      <c r="J20" s="36"/>
      <c r="K20" s="64" t="s">
        <v>207</v>
      </c>
      <c r="L20" s="53">
        <f>' TAM &amp; SOM'!G11</f>
        <v>2142</v>
      </c>
      <c r="M20" s="157">
        <v>0.25</v>
      </c>
      <c r="N20" s="59">
        <v>1E-3</v>
      </c>
      <c r="O20" s="83">
        <f t="shared" si="0"/>
        <v>2.1419999999999999</v>
      </c>
      <c r="P20" s="60">
        <v>1.7500000000000002E-2</v>
      </c>
      <c r="Q20" s="71">
        <f t="shared" si="4"/>
        <v>37485.000000000007</v>
      </c>
      <c r="R20" s="179"/>
      <c r="S20" s="64" t="s">
        <v>207</v>
      </c>
      <c r="T20" s="53">
        <f t="shared" si="1"/>
        <v>2040</v>
      </c>
      <c r="U20" s="157"/>
      <c r="V20" s="56">
        <v>0</v>
      </c>
      <c r="W20" s="38"/>
      <c r="X20" s="11">
        <v>1.7500000000000002E-2</v>
      </c>
      <c r="Y20" s="12"/>
      <c r="Z20" s="36"/>
      <c r="AA20" s="167" t="s">
        <v>207</v>
      </c>
      <c r="AB20" s="53">
        <f t="shared" si="2"/>
        <v>2142</v>
      </c>
      <c r="AC20" s="157">
        <v>1</v>
      </c>
      <c r="AD20" s="57">
        <f t="shared" si="3"/>
        <v>5.0000000000000001E-4</v>
      </c>
      <c r="AE20" s="52">
        <f t="shared" si="5"/>
        <v>1.071</v>
      </c>
      <c r="AF20" s="60">
        <v>1.7500000000000002E-2</v>
      </c>
      <c r="AG20" s="71">
        <f t="shared" si="6"/>
        <v>18742.500000000004</v>
      </c>
    </row>
    <row r="21" spans="2:33" x14ac:dyDescent="0.35">
      <c r="B21" s="36"/>
      <c r="C21" s="64" t="s">
        <v>215</v>
      </c>
      <c r="D21" s="53">
        <f>' TAM &amp; SOM'!F12</f>
        <v>160558.20000000004</v>
      </c>
      <c r="E21" s="157" t="s">
        <v>227</v>
      </c>
      <c r="F21" s="56">
        <v>0</v>
      </c>
      <c r="G21" s="82"/>
      <c r="H21" s="232">
        <f>G14</f>
        <v>201.63</v>
      </c>
      <c r="I21" s="12"/>
      <c r="J21" s="36"/>
      <c r="K21" s="64" t="s">
        <v>215</v>
      </c>
      <c r="L21" s="53">
        <f>' TAM &amp; SOM'!G12</f>
        <v>168586.11000000004</v>
      </c>
      <c r="M21" s="157">
        <v>0.1</v>
      </c>
      <c r="N21" s="72">
        <v>1E-4</v>
      </c>
      <c r="O21" s="83">
        <f t="shared" si="0"/>
        <v>16.858611000000007</v>
      </c>
      <c r="P21" s="60">
        <v>1.7500000000000002E-2</v>
      </c>
      <c r="Q21" s="71">
        <f t="shared" si="4"/>
        <v>295025.69250000018</v>
      </c>
      <c r="R21" s="179"/>
      <c r="S21" s="64" t="s">
        <v>215</v>
      </c>
      <c r="T21" s="53">
        <f t="shared" si="1"/>
        <v>160558.20000000004</v>
      </c>
      <c r="U21" s="157"/>
      <c r="V21" s="56">
        <v>0</v>
      </c>
      <c r="W21" s="38"/>
      <c r="X21" s="11">
        <v>1.7500000000000002E-2</v>
      </c>
      <c r="Y21" s="12"/>
      <c r="Z21" s="36"/>
      <c r="AA21" s="167" t="s">
        <v>215</v>
      </c>
      <c r="AB21" s="53">
        <f t="shared" si="2"/>
        <v>168586.11000000004</v>
      </c>
      <c r="AC21" s="157">
        <v>1</v>
      </c>
      <c r="AD21" s="57">
        <f t="shared" si="3"/>
        <v>5.0000000000000002E-5</v>
      </c>
      <c r="AE21" s="52">
        <f t="shared" si="5"/>
        <v>8.4293055000000034</v>
      </c>
      <c r="AF21" s="60">
        <v>1.7500000000000002E-2</v>
      </c>
      <c r="AG21" s="71">
        <f t="shared" si="6"/>
        <v>147512.84625000009</v>
      </c>
    </row>
    <row r="22" spans="2:33" ht="15.75" customHeight="1" x14ac:dyDescent="0.35">
      <c r="B22" s="36"/>
      <c r="C22" s="64" t="s">
        <v>257</v>
      </c>
      <c r="D22" s="53" t="e">
        <f>SUM(D14:D21)</f>
        <v>#REF!</v>
      </c>
      <c r="E22" s="157"/>
      <c r="F22" s="56"/>
      <c r="G22" s="82"/>
      <c r="H22" s="100">
        <f>H14</f>
        <v>1.7500000000000002E-2</v>
      </c>
      <c r="I22" s="206"/>
      <c r="J22" s="36"/>
      <c r="K22" s="64" t="s">
        <v>257</v>
      </c>
      <c r="L22" s="53"/>
      <c r="M22" s="157"/>
      <c r="N22" s="59"/>
      <c r="O22" s="83"/>
      <c r="P22" s="83">
        <f>SUM(O14:O21)</f>
        <v>1826.0086446545458</v>
      </c>
      <c r="Q22" s="251"/>
      <c r="R22" s="179"/>
      <c r="S22" s="64"/>
      <c r="T22" s="53"/>
      <c r="U22" s="157"/>
      <c r="V22" s="56"/>
      <c r="W22" s="38"/>
      <c r="X22" s="11"/>
      <c r="Y22" s="12"/>
      <c r="Z22" s="36"/>
      <c r="AA22" s="167"/>
      <c r="AB22" s="53"/>
      <c r="AC22" s="157"/>
      <c r="AD22" s="57"/>
      <c r="AE22" s="52"/>
      <c r="AF22" s="60"/>
      <c r="AG22" s="71"/>
    </row>
    <row r="23" spans="2:33" ht="15" thickBot="1" x14ac:dyDescent="0.4">
      <c r="B23" s="35"/>
      <c r="C23" s="65" t="s">
        <v>116</v>
      </c>
      <c r="D23" s="66"/>
      <c r="E23" s="164">
        <f>SUM(E16:E22)/8</f>
        <v>0</v>
      </c>
      <c r="F23" s="67"/>
      <c r="G23" s="90"/>
      <c r="H23" s="28"/>
      <c r="I23" s="70">
        <f>SUM(I14:I20)</f>
        <v>3528525</v>
      </c>
      <c r="J23" s="36"/>
      <c r="K23" s="65" t="s">
        <v>116</v>
      </c>
      <c r="L23" s="66"/>
      <c r="M23" s="164">
        <f>SUM(M16:M22)/8</f>
        <v>0.23750000000000002</v>
      </c>
      <c r="N23" s="67"/>
      <c r="O23" s="90"/>
      <c r="P23" s="28"/>
      <c r="Q23" s="70">
        <f>SUM(Q14:Q22)</f>
        <v>31955151.281454552</v>
      </c>
      <c r="R23" s="176"/>
      <c r="S23" s="65" t="s">
        <v>116</v>
      </c>
      <c r="T23" s="66"/>
      <c r="U23" s="88"/>
      <c r="V23" s="67"/>
      <c r="W23" s="66"/>
      <c r="X23" s="28"/>
      <c r="Y23" s="70">
        <f>SUM(Y14:Y20)</f>
        <v>0</v>
      </c>
      <c r="Z23" s="36"/>
      <c r="AA23" s="168" t="s">
        <v>116</v>
      </c>
      <c r="AB23" s="66"/>
      <c r="AC23" s="88"/>
      <c r="AD23" s="67"/>
      <c r="AE23" s="66"/>
      <c r="AF23" s="28"/>
      <c r="AG23" s="70">
        <f>SUM(AG14:AG21)</f>
        <v>15977575.640727276</v>
      </c>
    </row>
    <row r="24" spans="2:33" ht="15" thickBot="1" x14ac:dyDescent="0.4">
      <c r="B24" s="36"/>
      <c r="C24" s="29"/>
      <c r="D24" s="38"/>
      <c r="E24" s="30"/>
      <c r="F24" s="50"/>
      <c r="G24" s="82"/>
      <c r="H24" s="37"/>
      <c r="I24"/>
      <c r="J24" s="36"/>
      <c r="K24" s="29"/>
      <c r="L24" s="11"/>
      <c r="M24" s="30"/>
      <c r="N24" s="37"/>
      <c r="O24" s="82"/>
      <c r="P24" s="38"/>
      <c r="Q24"/>
      <c r="R24" s="179"/>
      <c r="S24" s="29"/>
      <c r="T24" s="38"/>
      <c r="V24" s="50"/>
      <c r="W24" s="38"/>
      <c r="X24" s="37"/>
      <c r="Z24" s="36"/>
      <c r="AA24" s="169"/>
      <c r="AB24" s="11"/>
      <c r="AD24" s="37"/>
      <c r="AE24" s="11"/>
      <c r="AF24" s="38"/>
    </row>
    <row r="25" spans="2:33" x14ac:dyDescent="0.35">
      <c r="B25" s="36"/>
      <c r="C25" s="376" t="s">
        <v>217</v>
      </c>
      <c r="D25" s="377"/>
      <c r="E25" s="377"/>
      <c r="F25" s="377"/>
      <c r="G25" s="377"/>
      <c r="H25" s="377"/>
      <c r="I25" s="378"/>
      <c r="J25" s="36"/>
      <c r="K25" s="376" t="s">
        <v>222</v>
      </c>
      <c r="L25" s="377"/>
      <c r="M25" s="377"/>
      <c r="N25" s="377"/>
      <c r="O25" s="377"/>
      <c r="P25" s="377"/>
      <c r="Q25" s="378"/>
      <c r="R25" s="179"/>
      <c r="S25" s="376" t="s">
        <v>81</v>
      </c>
      <c r="T25" s="377"/>
      <c r="U25" s="377"/>
      <c r="V25" s="377"/>
      <c r="W25" s="377"/>
      <c r="X25" s="377"/>
      <c r="Y25" s="378"/>
      <c r="Z25" s="36"/>
      <c r="AA25" s="376" t="s">
        <v>84</v>
      </c>
      <c r="AB25" s="377"/>
      <c r="AC25" s="377"/>
      <c r="AD25" s="377"/>
      <c r="AE25" s="377"/>
      <c r="AF25" s="377"/>
      <c r="AG25" s="378"/>
    </row>
    <row r="26" spans="2:33" x14ac:dyDescent="0.35">
      <c r="B26" s="36"/>
      <c r="C26" s="62"/>
      <c r="D26" s="45" t="s">
        <v>219</v>
      </c>
      <c r="E26" s="32" t="s">
        <v>226</v>
      </c>
      <c r="F26" s="49" t="s">
        <v>145</v>
      </c>
      <c r="G26" s="159" t="s">
        <v>218</v>
      </c>
      <c r="H26" s="32" t="s">
        <v>144</v>
      </c>
      <c r="I26" s="68" t="s">
        <v>110</v>
      </c>
      <c r="K26" s="62"/>
      <c r="L26" s="45" t="s">
        <v>224</v>
      </c>
      <c r="M26" s="32" t="s">
        <v>226</v>
      </c>
      <c r="N26" s="49" t="s">
        <v>145</v>
      </c>
      <c r="O26" s="159" t="s">
        <v>83</v>
      </c>
      <c r="P26" s="32" t="s">
        <v>143</v>
      </c>
      <c r="Q26" s="68" t="s">
        <v>110</v>
      </c>
      <c r="R26" s="179"/>
      <c r="S26" s="62"/>
      <c r="T26" s="45" t="s">
        <v>82</v>
      </c>
      <c r="U26" s="32" t="s">
        <v>226</v>
      </c>
      <c r="V26" s="49" t="s">
        <v>145</v>
      </c>
      <c r="W26" s="51" t="s">
        <v>83</v>
      </c>
      <c r="X26" s="32" t="s">
        <v>144</v>
      </c>
      <c r="Y26" s="68" t="s">
        <v>110</v>
      </c>
      <c r="AA26" s="166"/>
      <c r="AB26" s="45" t="s">
        <v>82</v>
      </c>
      <c r="AC26" s="32" t="s">
        <v>226</v>
      </c>
      <c r="AD26" s="49" t="s">
        <v>145</v>
      </c>
      <c r="AE26" s="51" t="s">
        <v>83</v>
      </c>
      <c r="AF26" s="32" t="s">
        <v>143</v>
      </c>
      <c r="AG26" s="68" t="s">
        <v>110</v>
      </c>
    </row>
    <row r="27" spans="2:33" ht="20.25" customHeight="1" x14ac:dyDescent="0.35">
      <c r="B27" s="36"/>
      <c r="C27" s="63" t="s">
        <v>273</v>
      </c>
      <c r="D27" s="53">
        <f>' TAM &amp; SOM'!H5</f>
        <v>8132.4100000000008</v>
      </c>
      <c r="E27" s="157">
        <v>1</v>
      </c>
      <c r="F27" s="57">
        <v>0.01</v>
      </c>
      <c r="G27" s="83">
        <f t="shared" ref="G27:G34" si="7">F27*D27</f>
        <v>81.324100000000016</v>
      </c>
      <c r="H27" s="58">
        <v>1.7500000000000002E-2</v>
      </c>
      <c r="I27" s="71">
        <f>H27*G27*1000000</f>
        <v>1423171.7500000005</v>
      </c>
      <c r="J27" s="42"/>
      <c r="K27" s="63" t="s">
        <v>273</v>
      </c>
      <c r="L27" s="53">
        <f>' TAM &amp; SOM'!I5</f>
        <v>8945.6510000000017</v>
      </c>
      <c r="M27" s="157">
        <v>1</v>
      </c>
      <c r="N27" s="57">
        <f>F27*(1+M27)</f>
        <v>0.02</v>
      </c>
      <c r="O27" s="83">
        <f t="shared" ref="O27:O34" si="8">N27*L27</f>
        <v>178.91302000000005</v>
      </c>
      <c r="P27" s="58">
        <v>1.7500000000000002E-2</v>
      </c>
      <c r="Q27" s="71">
        <f>P27*O27*1000000</f>
        <v>3130977.850000001</v>
      </c>
      <c r="R27" s="179"/>
      <c r="S27" s="63" t="s">
        <v>273</v>
      </c>
      <c r="T27" s="53">
        <f t="shared" ref="T27:T34" si="9">D27</f>
        <v>8132.4100000000008</v>
      </c>
      <c r="U27" s="157">
        <f t="shared" ref="U27:U34" si="10">(W27-AE14)/AE14</f>
        <v>-0.79629629629629617</v>
      </c>
      <c r="V27" s="57">
        <f t="shared" ref="V27:V35" si="11">F27/2</f>
        <v>5.0000000000000001E-3</v>
      </c>
      <c r="W27" s="52">
        <f>V27*T27</f>
        <v>40.662050000000008</v>
      </c>
      <c r="X27" s="58">
        <v>1.7500000000000002E-2</v>
      </c>
      <c r="Y27" s="71">
        <f>X27*W27*1000000</f>
        <v>711585.87500000023</v>
      </c>
      <c r="Z27" s="42"/>
      <c r="AA27" s="63" t="s">
        <v>273</v>
      </c>
      <c r="AB27" s="53">
        <f t="shared" ref="AB27:AB34" si="12">L27</f>
        <v>8945.6510000000017</v>
      </c>
      <c r="AC27" s="157">
        <f>(AE27-W27)/W27</f>
        <v>0.65</v>
      </c>
      <c r="AD27" s="57">
        <f>V27*1.5</f>
        <v>7.4999999999999997E-3</v>
      </c>
      <c r="AE27" s="52">
        <f>AD27*AB27</f>
        <v>67.092382500000014</v>
      </c>
      <c r="AF27" s="58">
        <v>1.7500000000000002E-2</v>
      </c>
      <c r="AG27" s="71">
        <f>AF27*AE27*1000000</f>
        <v>1174116.6937500003</v>
      </c>
    </row>
    <row r="28" spans="2:33" x14ac:dyDescent="0.35">
      <c r="B28" s="36"/>
      <c r="C28" s="64" t="s">
        <v>35</v>
      </c>
      <c r="D28" s="53">
        <f>' TAM &amp; SOM'!H6</f>
        <v>253211.79312000002</v>
      </c>
      <c r="E28" s="157">
        <v>0.2</v>
      </c>
      <c r="F28" s="57">
        <f t="shared" ref="F28:F34" si="13">N15*(1+E28)</f>
        <v>6.0000000000000002E-5</v>
      </c>
      <c r="G28" s="83">
        <f>F28*D28</f>
        <v>15.192707587200001</v>
      </c>
      <c r="H28" s="60">
        <v>1.7500000000000002E-2</v>
      </c>
      <c r="I28" s="71">
        <f>H28*G28*1000000</f>
        <v>265872.38277600007</v>
      </c>
      <c r="J28" s="36"/>
      <c r="K28" s="64" t="s">
        <v>35</v>
      </c>
      <c r="L28" s="53">
        <f>' TAM &amp; SOM'!I6</f>
        <v>273468.73656960006</v>
      </c>
      <c r="M28" s="157">
        <v>0.35</v>
      </c>
      <c r="N28" s="57">
        <f>F28*(1+M28)</f>
        <v>8.1000000000000004E-5</v>
      </c>
      <c r="O28" s="83">
        <f>N28*L28</f>
        <v>22.150967662137607</v>
      </c>
      <c r="P28" s="60">
        <v>1.7500000000000002E-2</v>
      </c>
      <c r="Q28" s="71">
        <f>P28*O28*1000000</f>
        <v>387641.93408740818</v>
      </c>
      <c r="R28" s="179"/>
      <c r="S28" s="64" t="s">
        <v>35</v>
      </c>
      <c r="T28" s="53">
        <f>D28</f>
        <v>253211.79312000002</v>
      </c>
      <c r="U28" s="157">
        <f t="shared" si="10"/>
        <v>0.29599999999999999</v>
      </c>
      <c r="V28" s="57">
        <f>F28/2</f>
        <v>3.0000000000000001E-5</v>
      </c>
      <c r="W28" s="52">
        <f>V28*T28</f>
        <v>7.5963537936000005</v>
      </c>
      <c r="X28" s="60">
        <v>1.7500000000000002E-2</v>
      </c>
      <c r="Y28" s="71">
        <f>X28*W28*1000000</f>
        <v>132936.19138800004</v>
      </c>
      <c r="Z28" s="36"/>
      <c r="AA28" s="167" t="s">
        <v>35</v>
      </c>
      <c r="AB28" s="53">
        <f>L28</f>
        <v>273468.73656960006</v>
      </c>
      <c r="AC28" s="157">
        <f>(AE28-W28)/W28</f>
        <v>0.62000000000000033</v>
      </c>
      <c r="AD28" s="57">
        <f>V28*1.5</f>
        <v>4.5000000000000003E-5</v>
      </c>
      <c r="AE28" s="52">
        <f>AD28*AB28</f>
        <v>12.306093145632003</v>
      </c>
      <c r="AF28" s="60">
        <v>1.7500000000000002E-2</v>
      </c>
      <c r="AG28" s="71">
        <f>AF28*AE28*1000000</f>
        <v>215356.63004856007</v>
      </c>
    </row>
    <row r="29" spans="2:33" ht="16.5" customHeight="1" x14ac:dyDescent="0.35">
      <c r="B29" s="36"/>
      <c r="C29" s="63" t="s">
        <v>274</v>
      </c>
      <c r="D29" s="53" t="e">
        <f>' TAM &amp; SOM'!H7+' TAM &amp; SOM'!#REF!</f>
        <v>#REF!</v>
      </c>
      <c r="E29" s="157">
        <v>1</v>
      </c>
      <c r="F29" s="57">
        <f t="shared" si="13"/>
        <v>0.01</v>
      </c>
      <c r="G29" s="83" t="e">
        <f t="shared" si="7"/>
        <v>#REF!</v>
      </c>
      <c r="H29" s="60">
        <v>1.7500000000000002E-2</v>
      </c>
      <c r="I29" s="71" t="e">
        <f t="shared" ref="I29:I34" si="14">H29*G29*1000000</f>
        <v>#REF!</v>
      </c>
      <c r="J29" s="35"/>
      <c r="K29" s="63" t="s">
        <v>274</v>
      </c>
      <c r="L29" s="53" t="e">
        <f>' TAM &amp; SOM'!I7+' TAM &amp; SOM'!#REF!</f>
        <v>#REF!</v>
      </c>
      <c r="M29" s="157">
        <v>1</v>
      </c>
      <c r="N29" s="57">
        <f t="shared" ref="N29:N34" si="15">F29*(1+M29)</f>
        <v>0.02</v>
      </c>
      <c r="O29" s="83" t="e">
        <f t="shared" si="8"/>
        <v>#REF!</v>
      </c>
      <c r="P29" s="60">
        <v>1.7500000000000002E-2</v>
      </c>
      <c r="Q29" s="71" t="e">
        <f t="shared" ref="Q29:Q34" si="16">P29*O29*1000000</f>
        <v>#REF!</v>
      </c>
      <c r="R29" s="179"/>
      <c r="S29" s="63" t="s">
        <v>274</v>
      </c>
      <c r="T29" s="53" t="e">
        <f t="shared" si="9"/>
        <v>#REF!</v>
      </c>
      <c r="U29" s="157" t="e">
        <f t="shared" si="10"/>
        <v>#REF!</v>
      </c>
      <c r="V29" s="57">
        <f t="shared" si="11"/>
        <v>5.0000000000000001E-3</v>
      </c>
      <c r="W29" s="52" t="e">
        <f t="shared" ref="W29:W34" si="17">V29*T29</f>
        <v>#REF!</v>
      </c>
      <c r="X29" s="60">
        <v>1.7500000000000002E-2</v>
      </c>
      <c r="Y29" s="71" t="e">
        <f t="shared" ref="Y29:Y33" si="18">X29*W29*1000000</f>
        <v>#REF!</v>
      </c>
      <c r="Z29" s="35"/>
      <c r="AA29" s="63" t="s">
        <v>274</v>
      </c>
      <c r="AB29" s="53" t="e">
        <f t="shared" si="12"/>
        <v>#REF!</v>
      </c>
      <c r="AC29" s="157" t="e">
        <f t="shared" ref="AC29:AC34" si="19">(AE29-W29)/W29</f>
        <v>#REF!</v>
      </c>
      <c r="AD29" s="57">
        <f t="shared" ref="AD29:AD35" si="20">V29*1.5</f>
        <v>7.4999999999999997E-3</v>
      </c>
      <c r="AE29" s="52" t="e">
        <f t="shared" ref="AE29:AE34" si="21">AD29*AB29</f>
        <v>#REF!</v>
      </c>
      <c r="AF29" s="60">
        <v>1.7500000000000002E-2</v>
      </c>
      <c r="AG29" s="71" t="e">
        <f t="shared" ref="AG29:AG34" si="22">AF29*AE29*1000000</f>
        <v>#REF!</v>
      </c>
    </row>
    <row r="30" spans="2:33" x14ac:dyDescent="0.35">
      <c r="B30" s="36"/>
      <c r="C30" s="64" t="s">
        <v>58</v>
      </c>
      <c r="D30" s="53">
        <f>' TAM &amp; SOM'!H8</f>
        <v>180268.77272727276</v>
      </c>
      <c r="E30" s="157">
        <v>0.4</v>
      </c>
      <c r="F30" s="57">
        <f t="shared" si="13"/>
        <v>1.4E-3</v>
      </c>
      <c r="G30" s="83">
        <f t="shared" si="7"/>
        <v>252.37628181818187</v>
      </c>
      <c r="H30" s="60">
        <v>1.7500000000000002E-2</v>
      </c>
      <c r="I30" s="71">
        <f t="shared" si="14"/>
        <v>4416584.9318181826</v>
      </c>
      <c r="J30" s="36"/>
      <c r="K30" s="64" t="s">
        <v>58</v>
      </c>
      <c r="L30" s="53">
        <f>' TAM &amp; SOM'!I8</f>
        <v>189282.21136363642</v>
      </c>
      <c r="M30" s="157">
        <v>0.55000000000000004</v>
      </c>
      <c r="N30" s="57">
        <f t="shared" si="15"/>
        <v>2.1700000000000001E-3</v>
      </c>
      <c r="O30" s="83">
        <f t="shared" si="8"/>
        <v>410.74239865909107</v>
      </c>
      <c r="P30" s="60">
        <v>1.7500000000000002E-2</v>
      </c>
      <c r="Q30" s="71">
        <f t="shared" si="16"/>
        <v>7187991.9765340947</v>
      </c>
      <c r="R30" s="179"/>
      <c r="S30" s="64" t="s">
        <v>58</v>
      </c>
      <c r="T30" s="53">
        <f t="shared" si="9"/>
        <v>180268.77272727276</v>
      </c>
      <c r="U30" s="157">
        <f t="shared" si="10"/>
        <v>0.47000000000000003</v>
      </c>
      <c r="V30" s="57">
        <f t="shared" si="11"/>
        <v>6.9999999999999999E-4</v>
      </c>
      <c r="W30" s="52">
        <f t="shared" si="17"/>
        <v>126.18814090909093</v>
      </c>
      <c r="X30" s="60">
        <v>1.7500000000000002E-2</v>
      </c>
      <c r="Y30" s="71">
        <f t="shared" si="18"/>
        <v>2208292.4659090913</v>
      </c>
      <c r="Z30" s="36"/>
      <c r="AA30" s="167" t="s">
        <v>58</v>
      </c>
      <c r="AB30" s="53">
        <f t="shared" si="12"/>
        <v>189282.21136363642</v>
      </c>
      <c r="AC30" s="157">
        <f t="shared" si="19"/>
        <v>0.57500000000000018</v>
      </c>
      <c r="AD30" s="57">
        <f t="shared" si="20"/>
        <v>1.0499999999999999E-3</v>
      </c>
      <c r="AE30" s="52">
        <f t="shared" si="21"/>
        <v>198.74632193181824</v>
      </c>
      <c r="AF30" s="60">
        <v>1.7500000000000002E-2</v>
      </c>
      <c r="AG30" s="71">
        <f t="shared" si="22"/>
        <v>3478060.6338068196</v>
      </c>
    </row>
    <row r="31" spans="2:33" x14ac:dyDescent="0.35">
      <c r="B31" s="35"/>
      <c r="C31" s="64" t="s">
        <v>62</v>
      </c>
      <c r="D31" s="53">
        <f>' TAM &amp; SOM'!H9</f>
        <v>5689.6875</v>
      </c>
      <c r="E31" s="157">
        <v>0.4</v>
      </c>
      <c r="F31" s="57">
        <f t="shared" si="13"/>
        <v>1.4E-3</v>
      </c>
      <c r="G31" s="83">
        <f t="shared" si="7"/>
        <v>7.9655624999999999</v>
      </c>
      <c r="H31" s="60">
        <v>1.7500000000000002E-2</v>
      </c>
      <c r="I31" s="71">
        <f t="shared" si="14"/>
        <v>139397.34375</v>
      </c>
      <c r="J31" s="36"/>
      <c r="K31" s="64" t="s">
        <v>62</v>
      </c>
      <c r="L31" s="53">
        <f>' TAM &amp; SOM'!I9</f>
        <v>5974.171875</v>
      </c>
      <c r="M31" s="157">
        <v>0.55000000000000004</v>
      </c>
      <c r="N31" s="57">
        <f t="shared" si="15"/>
        <v>2.1700000000000001E-3</v>
      </c>
      <c r="O31" s="83">
        <f t="shared" si="8"/>
        <v>12.96395296875</v>
      </c>
      <c r="P31" s="60">
        <v>1.7500000000000002E-2</v>
      </c>
      <c r="Q31" s="71">
        <f t="shared" si="16"/>
        <v>226869.17695312502</v>
      </c>
      <c r="R31" s="176"/>
      <c r="S31" s="64" t="s">
        <v>62</v>
      </c>
      <c r="T31" s="53">
        <f t="shared" si="9"/>
        <v>5689.6875</v>
      </c>
      <c r="U31" s="157">
        <f t="shared" si="10"/>
        <v>0.46999999999999992</v>
      </c>
      <c r="V31" s="57">
        <f t="shared" si="11"/>
        <v>6.9999999999999999E-4</v>
      </c>
      <c r="W31" s="52">
        <f t="shared" si="17"/>
        <v>3.9827812499999999</v>
      </c>
      <c r="X31" s="60">
        <v>1.7500000000000002E-2</v>
      </c>
      <c r="Y31" s="71">
        <f t="shared" si="18"/>
        <v>69698.671875</v>
      </c>
      <c r="Z31" s="36"/>
      <c r="AA31" s="167" t="s">
        <v>62</v>
      </c>
      <c r="AB31" s="53">
        <f t="shared" si="12"/>
        <v>5974.171875</v>
      </c>
      <c r="AC31" s="157">
        <f t="shared" si="19"/>
        <v>0.57499999999999984</v>
      </c>
      <c r="AD31" s="57">
        <f t="shared" si="20"/>
        <v>1.0499999999999999E-3</v>
      </c>
      <c r="AE31" s="52">
        <f t="shared" si="21"/>
        <v>6.2728804687499995</v>
      </c>
      <c r="AF31" s="60">
        <v>1.7500000000000002E-2</v>
      </c>
      <c r="AG31" s="71">
        <f t="shared" si="22"/>
        <v>109775.40820312501</v>
      </c>
    </row>
    <row r="32" spans="2:33" ht="15.75" customHeight="1" x14ac:dyDescent="0.35">
      <c r="B32" s="36"/>
      <c r="C32" s="64" t="s">
        <v>204</v>
      </c>
      <c r="D32" s="53">
        <f>' TAM &amp; SOM'!H10</f>
        <v>49011.637500000004</v>
      </c>
      <c r="E32" s="157">
        <v>0.3</v>
      </c>
      <c r="F32" s="57">
        <f t="shared" si="13"/>
        <v>1.3000000000000002E-3</v>
      </c>
      <c r="G32" s="83">
        <f t="shared" si="7"/>
        <v>63.715128750000012</v>
      </c>
      <c r="H32" s="60">
        <v>1.7500000000000002E-2</v>
      </c>
      <c r="I32" s="71">
        <f t="shared" si="14"/>
        <v>1115014.7531250003</v>
      </c>
      <c r="J32" s="36"/>
      <c r="K32" s="64" t="s">
        <v>204</v>
      </c>
      <c r="L32" s="53">
        <f>' TAM &amp; SOM'!I10</f>
        <v>51462.219375000008</v>
      </c>
      <c r="M32" s="157">
        <v>0.45</v>
      </c>
      <c r="N32" s="57">
        <f t="shared" si="15"/>
        <v>1.8850000000000002E-3</v>
      </c>
      <c r="O32" s="83">
        <f t="shared" si="8"/>
        <v>97.006283521875019</v>
      </c>
      <c r="P32" s="60">
        <v>1.7500000000000002E-2</v>
      </c>
      <c r="Q32" s="71">
        <f t="shared" si="16"/>
        <v>1697609.9616328131</v>
      </c>
      <c r="R32" s="179"/>
      <c r="S32" s="64" t="s">
        <v>204</v>
      </c>
      <c r="T32" s="53">
        <f t="shared" si="9"/>
        <v>49011.637500000004</v>
      </c>
      <c r="U32" s="157">
        <f t="shared" si="10"/>
        <v>0.36500000000000016</v>
      </c>
      <c r="V32" s="57">
        <f t="shared" si="11"/>
        <v>6.5000000000000008E-4</v>
      </c>
      <c r="W32" s="52">
        <f t="shared" si="17"/>
        <v>31.857564375000006</v>
      </c>
      <c r="X32" s="60">
        <v>1.7500000000000002E-2</v>
      </c>
      <c r="Y32" s="71">
        <f t="shared" si="18"/>
        <v>557507.37656250014</v>
      </c>
      <c r="Z32" s="36"/>
      <c r="AA32" s="167" t="s">
        <v>204</v>
      </c>
      <c r="AB32" s="53">
        <f t="shared" si="12"/>
        <v>51462.219375000008</v>
      </c>
      <c r="AC32" s="157">
        <f t="shared" si="19"/>
        <v>0.57500000000000029</v>
      </c>
      <c r="AD32" s="57">
        <f t="shared" si="20"/>
        <v>9.7500000000000017E-4</v>
      </c>
      <c r="AE32" s="52">
        <f t="shared" si="21"/>
        <v>50.175663890625017</v>
      </c>
      <c r="AF32" s="60">
        <v>1.7500000000000002E-2</v>
      </c>
      <c r="AG32" s="71">
        <f t="shared" si="22"/>
        <v>878074.11808593792</v>
      </c>
    </row>
    <row r="33" spans="2:33" x14ac:dyDescent="0.35">
      <c r="B33" s="36"/>
      <c r="C33" s="64" t="s">
        <v>207</v>
      </c>
      <c r="D33" s="53">
        <f>' TAM &amp; SOM'!H11</f>
        <v>2249.1</v>
      </c>
      <c r="E33" s="157">
        <v>0.3</v>
      </c>
      <c r="F33" s="57">
        <f t="shared" si="13"/>
        <v>1.3000000000000002E-3</v>
      </c>
      <c r="G33" s="83">
        <f t="shared" si="7"/>
        <v>2.9238300000000002</v>
      </c>
      <c r="H33" s="60">
        <v>1.7500000000000002E-2</v>
      </c>
      <c r="I33" s="71">
        <f t="shared" si="14"/>
        <v>51167.025000000001</v>
      </c>
      <c r="J33" s="36"/>
      <c r="K33" s="64" t="s">
        <v>207</v>
      </c>
      <c r="L33" s="53">
        <f>' TAM &amp; SOM'!I11</f>
        <v>2361.5549999999998</v>
      </c>
      <c r="M33" s="157">
        <v>0.55000000000000004</v>
      </c>
      <c r="N33" s="57">
        <f t="shared" si="15"/>
        <v>2.0150000000000003E-3</v>
      </c>
      <c r="O33" s="83">
        <f t="shared" si="8"/>
        <v>4.7585333250000001</v>
      </c>
      <c r="P33" s="60">
        <v>1.7500000000000002E-2</v>
      </c>
      <c r="Q33" s="71">
        <f t="shared" si="16"/>
        <v>83274.3331875</v>
      </c>
      <c r="R33" s="179"/>
      <c r="S33" s="64" t="s">
        <v>207</v>
      </c>
      <c r="T33" s="53">
        <f t="shared" si="9"/>
        <v>2249.1</v>
      </c>
      <c r="U33" s="157">
        <f t="shared" si="10"/>
        <v>0.36500000000000016</v>
      </c>
      <c r="V33" s="57">
        <f t="shared" si="11"/>
        <v>6.5000000000000008E-4</v>
      </c>
      <c r="W33" s="52">
        <f t="shared" si="17"/>
        <v>1.4619150000000001</v>
      </c>
      <c r="X33" s="60">
        <v>1.7500000000000002E-2</v>
      </c>
      <c r="Y33" s="71">
        <f t="shared" si="18"/>
        <v>25583.512500000001</v>
      </c>
      <c r="Z33" s="36"/>
      <c r="AA33" s="167" t="s">
        <v>207</v>
      </c>
      <c r="AB33" s="53">
        <f t="shared" si="12"/>
        <v>2361.5549999999998</v>
      </c>
      <c r="AC33" s="157">
        <f t="shared" si="19"/>
        <v>0.57500000000000018</v>
      </c>
      <c r="AD33" s="57">
        <f t="shared" si="20"/>
        <v>9.7500000000000017E-4</v>
      </c>
      <c r="AE33" s="52">
        <f t="shared" si="21"/>
        <v>2.3025161250000004</v>
      </c>
      <c r="AF33" s="60">
        <v>1.7500000000000002E-2</v>
      </c>
      <c r="AG33" s="71">
        <f t="shared" si="22"/>
        <v>40294.032187500008</v>
      </c>
    </row>
    <row r="34" spans="2:33" ht="15.75" customHeight="1" x14ac:dyDescent="0.35">
      <c r="B34" s="36"/>
      <c r="C34" s="64" t="s">
        <v>215</v>
      </c>
      <c r="D34" s="53">
        <f>' TAM &amp; SOM'!H12</f>
        <v>177015.41550000006</v>
      </c>
      <c r="E34" s="157">
        <v>0.2</v>
      </c>
      <c r="F34" s="57">
        <f t="shared" si="13"/>
        <v>1.2E-4</v>
      </c>
      <c r="G34" s="83">
        <f t="shared" si="7"/>
        <v>21.241849860000009</v>
      </c>
      <c r="H34" s="60">
        <v>1.7500000000000002E-2</v>
      </c>
      <c r="I34" s="71">
        <f t="shared" si="14"/>
        <v>371732.3725500002</v>
      </c>
      <c r="K34" s="64" t="s">
        <v>215</v>
      </c>
      <c r="L34" s="53">
        <f>' TAM &amp; SOM'!I12</f>
        <v>185866.18627500007</v>
      </c>
      <c r="M34" s="157">
        <v>0.25</v>
      </c>
      <c r="N34" s="57">
        <f t="shared" si="15"/>
        <v>1.5000000000000001E-4</v>
      </c>
      <c r="O34" s="83">
        <f t="shared" si="8"/>
        <v>27.879927941250013</v>
      </c>
      <c r="P34" s="60">
        <v>1.7500000000000002E-2</v>
      </c>
      <c r="Q34" s="71">
        <f t="shared" si="16"/>
        <v>487898.73897187528</v>
      </c>
      <c r="R34" s="179"/>
      <c r="S34" s="64" t="s">
        <v>215</v>
      </c>
      <c r="T34" s="53">
        <f t="shared" si="9"/>
        <v>177015.41550000006</v>
      </c>
      <c r="U34" s="157">
        <f t="shared" si="10"/>
        <v>0.26</v>
      </c>
      <c r="V34" s="57">
        <f t="shared" si="11"/>
        <v>6.0000000000000002E-5</v>
      </c>
      <c r="W34" s="52">
        <f t="shared" si="17"/>
        <v>10.620924930000005</v>
      </c>
      <c r="X34" s="60"/>
      <c r="Y34" s="71"/>
      <c r="AA34" s="167" t="s">
        <v>215</v>
      </c>
      <c r="AB34" s="53">
        <f t="shared" si="12"/>
        <v>185866.18627500007</v>
      </c>
      <c r="AC34" s="157">
        <f t="shared" si="19"/>
        <v>0.57500000000000007</v>
      </c>
      <c r="AD34" s="57">
        <f t="shared" si="20"/>
        <v>9.0000000000000006E-5</v>
      </c>
      <c r="AE34" s="52">
        <f t="shared" si="21"/>
        <v>16.727956764750008</v>
      </c>
      <c r="AF34" s="60">
        <v>1.7500000000000002E-2</v>
      </c>
      <c r="AG34" s="71">
        <f t="shared" si="22"/>
        <v>292739.24338312517</v>
      </c>
    </row>
    <row r="35" spans="2:33" ht="15.75" customHeight="1" x14ac:dyDescent="0.35">
      <c r="B35" s="36"/>
      <c r="C35" s="64" t="s">
        <v>257</v>
      </c>
      <c r="D35" s="53" t="e">
        <f>SUM(D27:D34)</f>
        <v>#REF!</v>
      </c>
      <c r="E35" s="157"/>
      <c r="F35" s="57">
        <f>SUM(F27:F34)</f>
        <v>2.5579999999999995E-2</v>
      </c>
      <c r="G35" s="83" t="e">
        <f>SUM(G27:G34)</f>
        <v>#REF!</v>
      </c>
      <c r="H35" s="60"/>
      <c r="I35" s="71"/>
      <c r="K35" s="64" t="s">
        <v>257</v>
      </c>
      <c r="L35" s="53"/>
      <c r="M35" s="157"/>
      <c r="N35" s="57"/>
      <c r="O35" s="83" t="e">
        <f>SUM(O27:O34)</f>
        <v>#REF!</v>
      </c>
      <c r="P35" s="60"/>
      <c r="Q35" s="71"/>
      <c r="R35" s="179"/>
      <c r="S35" s="64"/>
      <c r="T35" s="53"/>
      <c r="U35" s="157"/>
      <c r="V35" s="57">
        <f t="shared" si="11"/>
        <v>1.2789999999999998E-2</v>
      </c>
      <c r="W35" s="52"/>
      <c r="X35" s="60"/>
      <c r="Y35" s="71"/>
      <c r="AA35" s="167"/>
      <c r="AB35" s="53"/>
      <c r="AC35" s="157"/>
      <c r="AD35" s="57">
        <f t="shared" si="20"/>
        <v>1.9184999999999997E-2</v>
      </c>
      <c r="AE35" s="52"/>
      <c r="AF35" s="60"/>
      <c r="AG35" s="71"/>
    </row>
    <row r="36" spans="2:33" ht="15" thickBot="1" x14ac:dyDescent="0.4">
      <c r="B36" s="36"/>
      <c r="C36" s="65" t="s">
        <v>116</v>
      </c>
      <c r="D36" s="66"/>
      <c r="E36" s="164">
        <f>SUM(E27:E34)/8</f>
        <v>0.47499999999999998</v>
      </c>
      <c r="F36" s="67"/>
      <c r="G36" s="90"/>
      <c r="H36" s="28"/>
      <c r="I36" s="70" t="e">
        <f>SUM(I27:I33)</f>
        <v>#REF!</v>
      </c>
      <c r="K36" s="65" t="s">
        <v>116</v>
      </c>
      <c r="L36" s="66"/>
      <c r="M36" s="164">
        <f>SUM(M27:M34)/8</f>
        <v>0.58750000000000002</v>
      </c>
      <c r="N36" s="67"/>
      <c r="O36" s="90"/>
      <c r="P36" s="28"/>
      <c r="Q36" s="70" t="e">
        <f>SUM(Q27:Q33)</f>
        <v>#REF!</v>
      </c>
      <c r="R36" s="179"/>
      <c r="S36" s="65" t="s">
        <v>116</v>
      </c>
      <c r="T36" s="66"/>
      <c r="U36" s="88"/>
      <c r="V36" s="67"/>
      <c r="W36" s="66"/>
      <c r="X36" s="28"/>
      <c r="Y36" s="70" t="e">
        <f>SUM(Y27:Y33)</f>
        <v>#REF!</v>
      </c>
      <c r="AA36" s="168" t="s">
        <v>116</v>
      </c>
      <c r="AB36" s="66"/>
      <c r="AC36" s="88"/>
      <c r="AD36" s="67"/>
      <c r="AE36" s="66"/>
      <c r="AF36" s="28"/>
      <c r="AG36" s="70" t="e">
        <f>SUM(AG27:AG33)</f>
        <v>#REF!</v>
      </c>
    </row>
    <row r="37" spans="2:33" ht="15" thickBot="1" x14ac:dyDescent="0.4">
      <c r="B37" s="36"/>
      <c r="C37" s="29"/>
      <c r="D37" s="38"/>
      <c r="E37" s="30"/>
      <c r="F37" s="50"/>
      <c r="G37" s="82"/>
      <c r="H37" s="37"/>
      <c r="I37"/>
      <c r="K37"/>
      <c r="M37" s="30"/>
      <c r="O37" s="82"/>
      <c r="Q37"/>
      <c r="R37" s="179"/>
      <c r="S37" s="29"/>
      <c r="T37" s="38"/>
      <c r="V37" s="50"/>
      <c r="W37" s="38"/>
      <c r="X37" s="37"/>
    </row>
    <row r="38" spans="2:33" x14ac:dyDescent="0.35">
      <c r="B38" s="36"/>
      <c r="C38" s="376" t="s">
        <v>223</v>
      </c>
      <c r="D38" s="377"/>
      <c r="E38" s="377"/>
      <c r="F38" s="377"/>
      <c r="G38" s="377"/>
      <c r="H38" s="377"/>
      <c r="I38" s="378"/>
      <c r="K38" s="376" t="s">
        <v>167</v>
      </c>
      <c r="L38" s="377"/>
      <c r="M38" s="377"/>
      <c r="N38" s="377"/>
      <c r="O38" s="377"/>
      <c r="P38" s="377"/>
      <c r="Q38" s="378"/>
      <c r="R38" s="179"/>
      <c r="S38" s="376" t="s">
        <v>85</v>
      </c>
      <c r="T38" s="377"/>
      <c r="U38" s="377"/>
      <c r="V38" s="377"/>
      <c r="W38" s="377"/>
      <c r="X38" s="377"/>
      <c r="Y38" s="378"/>
      <c r="AA38" s="376" t="s">
        <v>86</v>
      </c>
      <c r="AB38" s="377"/>
      <c r="AC38" s="377"/>
      <c r="AD38" s="377"/>
      <c r="AE38" s="377"/>
      <c r="AF38" s="377"/>
      <c r="AG38" s="378"/>
    </row>
    <row r="39" spans="2:33" x14ac:dyDescent="0.35">
      <c r="B39"/>
      <c r="C39" s="62"/>
      <c r="D39" s="45" t="s">
        <v>224</v>
      </c>
      <c r="E39" s="32" t="s">
        <v>226</v>
      </c>
      <c r="F39" s="49" t="s">
        <v>145</v>
      </c>
      <c r="G39" s="159" t="s">
        <v>83</v>
      </c>
      <c r="H39" s="32" t="s">
        <v>143</v>
      </c>
      <c r="I39" s="68" t="s">
        <v>110</v>
      </c>
      <c r="K39" s="62"/>
      <c r="L39" s="45" t="s">
        <v>224</v>
      </c>
      <c r="M39" s="32" t="s">
        <v>226</v>
      </c>
      <c r="N39" s="49" t="s">
        <v>145</v>
      </c>
      <c r="O39" s="159" t="s">
        <v>83</v>
      </c>
      <c r="P39" s="32" t="s">
        <v>143</v>
      </c>
      <c r="Q39" s="68" t="s">
        <v>110</v>
      </c>
      <c r="S39" s="62"/>
      <c r="T39" s="45" t="s">
        <v>82</v>
      </c>
      <c r="U39" s="32" t="s">
        <v>226</v>
      </c>
      <c r="V39" s="49" t="s">
        <v>145</v>
      </c>
      <c r="W39" s="51" t="s">
        <v>83</v>
      </c>
      <c r="X39" s="32" t="s">
        <v>143</v>
      </c>
      <c r="Y39" s="68" t="s">
        <v>110</v>
      </c>
      <c r="AA39" s="166"/>
      <c r="AB39" s="45" t="s">
        <v>82</v>
      </c>
      <c r="AC39" s="32" t="s">
        <v>226</v>
      </c>
      <c r="AD39" s="49" t="s">
        <v>145</v>
      </c>
      <c r="AE39" s="51" t="s">
        <v>83</v>
      </c>
      <c r="AF39" s="32" t="s">
        <v>143</v>
      </c>
      <c r="AG39" s="68" t="s">
        <v>110</v>
      </c>
    </row>
    <row r="40" spans="2:33" ht="19.5" customHeight="1" x14ac:dyDescent="0.35">
      <c r="B40"/>
      <c r="C40" s="63" t="s">
        <v>273</v>
      </c>
      <c r="D40" s="53">
        <f>' TAM &amp; SOM'!J5</f>
        <v>9840.2161000000033</v>
      </c>
      <c r="E40" s="157">
        <v>0.8</v>
      </c>
      <c r="F40" s="57">
        <f t="shared" ref="F40:F47" si="23">N27*(1+E40)</f>
        <v>3.6000000000000004E-2</v>
      </c>
      <c r="G40" s="83">
        <f t="shared" ref="G40:G47" si="24">F40*D40</f>
        <v>354.24777960000017</v>
      </c>
      <c r="H40" s="58">
        <v>0.02</v>
      </c>
      <c r="I40" s="71">
        <f>H40*G40*1000000</f>
        <v>7084955.5920000039</v>
      </c>
      <c r="K40" s="63" t="s">
        <v>273</v>
      </c>
      <c r="L40" s="53">
        <f>' TAM &amp; SOM'!K5</f>
        <v>10824.237710000005</v>
      </c>
      <c r="M40" s="157">
        <v>1</v>
      </c>
      <c r="N40" s="57">
        <f>F40*(1+M40)</f>
        <v>7.2000000000000008E-2</v>
      </c>
      <c r="O40" s="83">
        <f t="shared" ref="O40:O47" si="25">N40*L40</f>
        <v>779.3451151200004</v>
      </c>
      <c r="P40" s="58">
        <v>0.02</v>
      </c>
      <c r="Q40" s="71">
        <f>P40*O40*1000000</f>
        <v>15586902.302400008</v>
      </c>
      <c r="S40" s="63" t="s">
        <v>273</v>
      </c>
      <c r="T40" s="53">
        <f t="shared" ref="T40:T47" si="26">D40</f>
        <v>9840.2161000000033</v>
      </c>
      <c r="U40" s="157">
        <f t="shared" ref="U40:U47" si="27">(W40-AE27)/AE27</f>
        <v>1.6400000000000008</v>
      </c>
      <c r="V40" s="57">
        <f>F40/2</f>
        <v>1.8000000000000002E-2</v>
      </c>
      <c r="W40" s="52">
        <f>V40*T40</f>
        <v>177.12388980000009</v>
      </c>
      <c r="X40" s="58">
        <v>0.02</v>
      </c>
      <c r="Y40" s="71">
        <f>X40*W40*1000000</f>
        <v>3542477.796000002</v>
      </c>
      <c r="AA40" s="63" t="s">
        <v>273</v>
      </c>
      <c r="AB40" s="53">
        <f>L40</f>
        <v>10824.237710000005</v>
      </c>
      <c r="AC40" s="157">
        <f>(AE40-W40)/W40</f>
        <v>1.2</v>
      </c>
      <c r="AD40" s="57">
        <f t="shared" ref="AD40:AD47" si="28">N40/2</f>
        <v>3.6000000000000004E-2</v>
      </c>
      <c r="AE40" s="52">
        <f>AD40*AB40</f>
        <v>389.6725575600002</v>
      </c>
      <c r="AF40" s="58">
        <v>0.02</v>
      </c>
      <c r="AG40" s="71">
        <f>AF40*AE40*1000000</f>
        <v>7793451.1512000039</v>
      </c>
    </row>
    <row r="41" spans="2:33" x14ac:dyDescent="0.35">
      <c r="B41"/>
      <c r="C41" s="64" t="s">
        <v>35</v>
      </c>
      <c r="D41" s="53" t="e">
        <f>' TAM &amp; SOM'!J7+' TAM &amp; SOM'!#REF!</f>
        <v>#REF!</v>
      </c>
      <c r="E41" s="157">
        <v>0.4</v>
      </c>
      <c r="F41" s="57">
        <f t="shared" si="23"/>
        <v>1.1339999999999999E-4</v>
      </c>
      <c r="G41" s="83" t="e">
        <f>F41*D41</f>
        <v>#REF!</v>
      </c>
      <c r="H41" s="58">
        <v>0.02</v>
      </c>
      <c r="I41" s="71" t="e">
        <f>H41*G41*1000000</f>
        <v>#REF!</v>
      </c>
      <c r="K41" s="64" t="s">
        <v>35</v>
      </c>
      <c r="L41" s="53">
        <f>' TAM &amp; SOM'!K6</f>
        <v>318973.93433478154</v>
      </c>
      <c r="M41" s="157">
        <v>0.6</v>
      </c>
      <c r="N41" s="57">
        <f>F41*(1+M41)</f>
        <v>1.8144E-4</v>
      </c>
      <c r="O41" s="83">
        <f>N41*L41</f>
        <v>57.874630645702766</v>
      </c>
      <c r="P41" s="60">
        <f>P42</f>
        <v>0.02</v>
      </c>
      <c r="Q41" s="71">
        <f>P41*O41*1000000</f>
        <v>1157492.6129140554</v>
      </c>
      <c r="S41" s="64" t="s">
        <v>35</v>
      </c>
      <c r="T41" s="53" t="e">
        <f>D41</f>
        <v>#REF!</v>
      </c>
      <c r="U41" s="157" t="e">
        <f t="shared" si="27"/>
        <v>#REF!</v>
      </c>
      <c r="V41" s="57">
        <f>F41/2</f>
        <v>5.6699999999999996E-5</v>
      </c>
      <c r="W41" s="52" t="e">
        <f>V41*T41</f>
        <v>#REF!</v>
      </c>
      <c r="X41" s="58">
        <v>0.02</v>
      </c>
      <c r="Y41" s="71" t="e">
        <f>X41*W41*1000000</f>
        <v>#REF!</v>
      </c>
      <c r="AA41" s="167" t="s">
        <v>35</v>
      </c>
      <c r="AB41" s="53">
        <f t="shared" ref="AB41:AB47" si="29">AB15</f>
        <v>234455.364</v>
      </c>
      <c r="AC41" s="157" t="e">
        <f>(AE41-W41)/W41</f>
        <v>#REF!</v>
      </c>
      <c r="AD41" s="57">
        <f>N41/2</f>
        <v>9.0719999999999999E-5</v>
      </c>
      <c r="AE41" s="52">
        <f>AD41*AB41</f>
        <v>21.269790622079999</v>
      </c>
      <c r="AF41" s="60">
        <f>AF42</f>
        <v>0.02</v>
      </c>
      <c r="AG41" s="71">
        <f>AF41*AE41*1000000</f>
        <v>425395.81244159996</v>
      </c>
    </row>
    <row r="42" spans="2:33" ht="17.25" customHeight="1" x14ac:dyDescent="0.35">
      <c r="B42"/>
      <c r="C42" s="63" t="s">
        <v>274</v>
      </c>
      <c r="D42" s="53" t="e">
        <f>' TAM &amp; SOM'!J7+' TAM &amp; SOM'!#REF!</f>
        <v>#REF!</v>
      </c>
      <c r="E42" s="157">
        <v>0.8</v>
      </c>
      <c r="F42" s="57">
        <f t="shared" si="23"/>
        <v>3.6000000000000004E-2</v>
      </c>
      <c r="G42" s="83" t="e">
        <f t="shared" si="24"/>
        <v>#REF!</v>
      </c>
      <c r="H42" s="58">
        <v>0.02</v>
      </c>
      <c r="I42" s="71" t="e">
        <f t="shared" ref="I42:I47" si="30">H42*G42*1000000</f>
        <v>#REF!</v>
      </c>
      <c r="K42" s="63" t="s">
        <v>274</v>
      </c>
      <c r="L42" s="53" t="e">
        <f>' TAM &amp; SOM'!K7+' TAM &amp; SOM'!#REF!</f>
        <v>#REF!</v>
      </c>
      <c r="M42" s="157">
        <v>0.6</v>
      </c>
      <c r="N42" s="57">
        <f t="shared" ref="N42:N47" si="31">F42*(1+M42)</f>
        <v>5.7600000000000012E-2</v>
      </c>
      <c r="O42" s="83" t="e">
        <f t="shared" si="25"/>
        <v>#REF!</v>
      </c>
      <c r="P42" s="60">
        <f>P40</f>
        <v>0.02</v>
      </c>
      <c r="Q42" s="71" t="e">
        <f t="shared" ref="Q42:Q47" si="32">P42*O42*1000000</f>
        <v>#REF!</v>
      </c>
      <c r="S42" s="63" t="s">
        <v>274</v>
      </c>
      <c r="T42" s="53" t="e">
        <f t="shared" si="26"/>
        <v>#REF!</v>
      </c>
      <c r="U42" s="157" t="e">
        <f t="shared" si="27"/>
        <v>#REF!</v>
      </c>
      <c r="V42" s="57">
        <f>F42/2</f>
        <v>1.8000000000000002E-2</v>
      </c>
      <c r="W42" s="52" t="e">
        <f t="shared" ref="W42:W47" si="33">V42*T42</f>
        <v>#REF!</v>
      </c>
      <c r="X42" s="58">
        <v>0.02</v>
      </c>
      <c r="Y42" s="71" t="e">
        <f t="shared" ref="Y42:Y47" si="34">X42*W42*1000000</f>
        <v>#REF!</v>
      </c>
      <c r="AA42" s="63" t="s">
        <v>274</v>
      </c>
      <c r="AB42" s="53">
        <f t="shared" si="29"/>
        <v>234455.364</v>
      </c>
      <c r="AC42" s="157" t="e">
        <f t="shared" ref="AC42:AC47" si="35">(AE42-W42)/W42</f>
        <v>#REF!</v>
      </c>
      <c r="AD42" s="57">
        <f t="shared" si="28"/>
        <v>2.8800000000000006E-2</v>
      </c>
      <c r="AE42" s="52">
        <f t="shared" ref="AE42:AE47" si="36">AD42*AB42</f>
        <v>6752.3144832000016</v>
      </c>
      <c r="AF42" s="60">
        <f>AF40</f>
        <v>0.02</v>
      </c>
      <c r="AG42" s="71">
        <f t="shared" ref="AG42:AG47" si="37">AF42*AE42*1000000</f>
        <v>135046289.66400003</v>
      </c>
    </row>
    <row r="43" spans="2:33" x14ac:dyDescent="0.35">
      <c r="B43" s="35"/>
      <c r="C43" s="64" t="s">
        <v>58</v>
      </c>
      <c r="D43" s="53">
        <f>' TAM &amp; SOM'!J8</f>
        <v>198746.32193181824</v>
      </c>
      <c r="E43" s="157">
        <v>0.6</v>
      </c>
      <c r="F43" s="57">
        <f t="shared" si="23"/>
        <v>3.4720000000000003E-3</v>
      </c>
      <c r="G43" s="83">
        <f t="shared" si="24"/>
        <v>690.04722974727292</v>
      </c>
      <c r="H43" s="58">
        <v>0.02</v>
      </c>
      <c r="I43" s="71">
        <f t="shared" si="30"/>
        <v>13800944.594945459</v>
      </c>
      <c r="K43" s="64" t="s">
        <v>58</v>
      </c>
      <c r="L43" s="53">
        <f>' TAM &amp; SOM'!K8</f>
        <v>208683.63802840916</v>
      </c>
      <c r="M43" s="157">
        <v>1</v>
      </c>
      <c r="N43" s="57">
        <f t="shared" si="31"/>
        <v>6.9440000000000005E-3</v>
      </c>
      <c r="O43" s="83">
        <f t="shared" si="25"/>
        <v>1449.0991824692733</v>
      </c>
      <c r="P43" s="60">
        <f>P41</f>
        <v>0.02</v>
      </c>
      <c r="Q43" s="71">
        <f t="shared" si="32"/>
        <v>28981983.649385467</v>
      </c>
      <c r="R43" s="176"/>
      <c r="S43" s="64" t="s">
        <v>58</v>
      </c>
      <c r="T43" s="53">
        <f t="shared" si="26"/>
        <v>198746.32193181824</v>
      </c>
      <c r="U43" s="157">
        <f t="shared" si="27"/>
        <v>0.73599999999999999</v>
      </c>
      <c r="V43" s="57">
        <f t="shared" ref="V43:V47" si="38">F43/2</f>
        <v>1.7360000000000001E-3</v>
      </c>
      <c r="W43" s="52">
        <f t="shared" si="33"/>
        <v>345.02361487363646</v>
      </c>
      <c r="X43" s="58">
        <v>0.02</v>
      </c>
      <c r="Y43" s="71">
        <f t="shared" si="34"/>
        <v>6900472.2974727293</v>
      </c>
      <c r="AA43" s="167" t="s">
        <v>58</v>
      </c>
      <c r="AB43" s="53">
        <f t="shared" si="29"/>
        <v>171684.54545454547</v>
      </c>
      <c r="AC43" s="157">
        <f t="shared" si="35"/>
        <v>0.72767519706295192</v>
      </c>
      <c r="AD43" s="57">
        <f t="shared" si="28"/>
        <v>3.4720000000000003E-3</v>
      </c>
      <c r="AE43" s="52">
        <f t="shared" si="36"/>
        <v>596.08874181818192</v>
      </c>
      <c r="AF43" s="60">
        <f>AF41</f>
        <v>0.02</v>
      </c>
      <c r="AG43" s="71">
        <f t="shared" si="37"/>
        <v>11921774.83636364</v>
      </c>
    </row>
    <row r="44" spans="2:33" x14ac:dyDescent="0.35">
      <c r="B44" s="35"/>
      <c r="C44" s="64" t="s">
        <v>62</v>
      </c>
      <c r="D44" s="53">
        <f>' TAM &amp; SOM'!J9</f>
        <v>6272.8804687500005</v>
      </c>
      <c r="E44" s="157">
        <v>0.6</v>
      </c>
      <c r="F44" s="57">
        <f t="shared" si="23"/>
        <v>3.4720000000000003E-3</v>
      </c>
      <c r="G44" s="83">
        <f t="shared" si="24"/>
        <v>21.779440987500003</v>
      </c>
      <c r="H44" s="58">
        <v>0.02</v>
      </c>
      <c r="I44" s="71">
        <f t="shared" si="30"/>
        <v>435588.81975000008</v>
      </c>
      <c r="K44" s="64" t="s">
        <v>62</v>
      </c>
      <c r="L44" s="53">
        <f>' TAM &amp; SOM'!K9</f>
        <v>6586.524492187501</v>
      </c>
      <c r="M44" s="157">
        <v>1</v>
      </c>
      <c r="N44" s="57">
        <f t="shared" si="31"/>
        <v>6.9440000000000005E-3</v>
      </c>
      <c r="O44" s="83">
        <f t="shared" si="25"/>
        <v>45.736826073750009</v>
      </c>
      <c r="P44" s="60">
        <f t="shared" ref="P44:P47" si="39">P43</f>
        <v>0.02</v>
      </c>
      <c r="Q44" s="71">
        <f t="shared" si="32"/>
        <v>914736.52147500019</v>
      </c>
      <c r="R44" s="176"/>
      <c r="S44" s="64" t="s">
        <v>62</v>
      </c>
      <c r="T44" s="53">
        <f t="shared" si="26"/>
        <v>6272.8804687500005</v>
      </c>
      <c r="U44" s="157">
        <f t="shared" si="27"/>
        <v>0.73600000000000032</v>
      </c>
      <c r="V44" s="57">
        <f t="shared" si="38"/>
        <v>1.7360000000000001E-3</v>
      </c>
      <c r="W44" s="52">
        <f t="shared" si="33"/>
        <v>10.889720493750001</v>
      </c>
      <c r="X44" s="58">
        <v>0.02</v>
      </c>
      <c r="Y44" s="71">
        <f t="shared" si="34"/>
        <v>217794.40987500004</v>
      </c>
      <c r="AA44" s="167" t="s">
        <v>62</v>
      </c>
      <c r="AB44" s="53">
        <f t="shared" si="29"/>
        <v>5418.75</v>
      </c>
      <c r="AC44" s="157">
        <f t="shared" si="35"/>
        <v>0.72767519706295192</v>
      </c>
      <c r="AD44" s="57">
        <f t="shared" si="28"/>
        <v>3.4720000000000003E-3</v>
      </c>
      <c r="AE44" s="52">
        <f t="shared" si="36"/>
        <v>18.8139</v>
      </c>
      <c r="AF44" s="60">
        <f t="shared" ref="AF44:AF47" si="40">AF43</f>
        <v>0.02</v>
      </c>
      <c r="AG44" s="71">
        <f t="shared" si="37"/>
        <v>376278</v>
      </c>
    </row>
    <row r="45" spans="2:33" ht="18.75" customHeight="1" x14ac:dyDescent="0.35">
      <c r="B45" s="35"/>
      <c r="C45" s="64" t="s">
        <v>204</v>
      </c>
      <c r="D45" s="53">
        <f>' TAM &amp; SOM'!J10</f>
        <v>54035.330343750007</v>
      </c>
      <c r="E45" s="157">
        <v>0.6</v>
      </c>
      <c r="F45" s="57">
        <f t="shared" si="23"/>
        <v>3.0160000000000005E-3</v>
      </c>
      <c r="G45" s="83">
        <f t="shared" si="24"/>
        <v>162.97055631675005</v>
      </c>
      <c r="H45" s="58">
        <v>0.02</v>
      </c>
      <c r="I45" s="71">
        <f t="shared" si="30"/>
        <v>3259411.1263350011</v>
      </c>
      <c r="K45" s="64" t="s">
        <v>204</v>
      </c>
      <c r="L45" s="53">
        <f>' TAM &amp; SOM'!K10</f>
        <v>56737.096860937512</v>
      </c>
      <c r="M45" s="157">
        <v>0.75</v>
      </c>
      <c r="N45" s="57">
        <f t="shared" si="31"/>
        <v>5.2780000000000006E-3</v>
      </c>
      <c r="O45" s="83">
        <f t="shared" si="25"/>
        <v>299.45839723202823</v>
      </c>
      <c r="P45" s="60">
        <f t="shared" si="39"/>
        <v>0.02</v>
      </c>
      <c r="Q45" s="71">
        <f t="shared" si="32"/>
        <v>5989167.9446405647</v>
      </c>
      <c r="R45" s="176"/>
      <c r="S45" s="64" t="s">
        <v>204</v>
      </c>
      <c r="T45" s="53">
        <f t="shared" si="26"/>
        <v>54035.330343750007</v>
      </c>
      <c r="U45" s="157">
        <f t="shared" si="27"/>
        <v>0.62399999999999989</v>
      </c>
      <c r="V45" s="57">
        <f t="shared" si="38"/>
        <v>1.5080000000000002E-3</v>
      </c>
      <c r="W45" s="52">
        <f t="shared" si="33"/>
        <v>81.485278158375024</v>
      </c>
      <c r="X45" s="58">
        <v>0.02</v>
      </c>
      <c r="Y45" s="71">
        <f t="shared" si="34"/>
        <v>1629705.5631675005</v>
      </c>
      <c r="AA45" s="167" t="s">
        <v>204</v>
      </c>
      <c r="AB45" s="53">
        <f t="shared" si="29"/>
        <v>46677.75</v>
      </c>
      <c r="AC45" s="157">
        <f t="shared" si="35"/>
        <v>0.51171579743008277</v>
      </c>
      <c r="AD45" s="57">
        <f t="shared" si="28"/>
        <v>2.6390000000000003E-3</v>
      </c>
      <c r="AE45" s="52">
        <f t="shared" si="36"/>
        <v>123.18258225000001</v>
      </c>
      <c r="AF45" s="60">
        <f t="shared" si="40"/>
        <v>0.02</v>
      </c>
      <c r="AG45" s="71">
        <f t="shared" si="37"/>
        <v>2463651.645</v>
      </c>
    </row>
    <row r="46" spans="2:33" x14ac:dyDescent="0.35">
      <c r="B46" s="35"/>
      <c r="C46" s="64" t="s">
        <v>207</v>
      </c>
      <c r="D46" s="53">
        <f>' TAM &amp; SOM'!J11</f>
        <v>2479.6327499999998</v>
      </c>
      <c r="E46" s="157">
        <v>0.6</v>
      </c>
      <c r="F46" s="57">
        <f t="shared" si="23"/>
        <v>3.2240000000000007E-3</v>
      </c>
      <c r="G46" s="83">
        <f t="shared" si="24"/>
        <v>7.9943359860000012</v>
      </c>
      <c r="H46" s="58">
        <v>0.02</v>
      </c>
      <c r="I46" s="71">
        <f t="shared" si="30"/>
        <v>159886.71972000002</v>
      </c>
      <c r="K46" s="64" t="s">
        <v>207</v>
      </c>
      <c r="L46" s="53">
        <f>' TAM &amp; SOM'!K11</f>
        <v>2603.6143874999998</v>
      </c>
      <c r="M46" s="157">
        <v>1</v>
      </c>
      <c r="N46" s="57">
        <f t="shared" si="31"/>
        <v>6.4480000000000015E-3</v>
      </c>
      <c r="O46" s="83">
        <f t="shared" si="25"/>
        <v>16.788105570600003</v>
      </c>
      <c r="P46" s="60">
        <f t="shared" si="39"/>
        <v>0.02</v>
      </c>
      <c r="Q46" s="71">
        <f t="shared" si="32"/>
        <v>335762.11141200009</v>
      </c>
      <c r="R46" s="176"/>
      <c r="S46" s="64" t="s">
        <v>207</v>
      </c>
      <c r="T46" s="53">
        <f t="shared" si="26"/>
        <v>2479.6327499999998</v>
      </c>
      <c r="U46" s="157">
        <f t="shared" si="27"/>
        <v>0.73599999999999999</v>
      </c>
      <c r="V46" s="57">
        <f t="shared" si="38"/>
        <v>1.6120000000000004E-3</v>
      </c>
      <c r="W46" s="52">
        <f t="shared" si="33"/>
        <v>3.9971679930000006</v>
      </c>
      <c r="X46" s="58">
        <v>0.02</v>
      </c>
      <c r="Y46" s="71">
        <f t="shared" si="34"/>
        <v>79943.359860000011</v>
      </c>
      <c r="AA46" s="167" t="s">
        <v>207</v>
      </c>
      <c r="AB46" s="53">
        <f t="shared" si="29"/>
        <v>2142</v>
      </c>
      <c r="AC46" s="157">
        <f t="shared" si="35"/>
        <v>0.72767519706295225</v>
      </c>
      <c r="AD46" s="57">
        <f t="shared" si="28"/>
        <v>3.2240000000000007E-3</v>
      </c>
      <c r="AE46" s="52">
        <f t="shared" si="36"/>
        <v>6.9058080000000013</v>
      </c>
      <c r="AF46" s="60">
        <f t="shared" si="40"/>
        <v>0.02</v>
      </c>
      <c r="AG46" s="71">
        <f t="shared" si="37"/>
        <v>138116.16</v>
      </c>
    </row>
    <row r="47" spans="2:33" x14ac:dyDescent="0.35">
      <c r="B47" s="35"/>
      <c r="C47" s="64" t="s">
        <v>215</v>
      </c>
      <c r="D47" s="53">
        <f>' TAM &amp; SOM'!J12</f>
        <v>195159.49558875008</v>
      </c>
      <c r="E47" s="157">
        <v>0.3</v>
      </c>
      <c r="F47" s="57">
        <f t="shared" si="23"/>
        <v>1.9500000000000002E-4</v>
      </c>
      <c r="G47" s="83">
        <f t="shared" si="24"/>
        <v>38.056101639806272</v>
      </c>
      <c r="H47" s="58">
        <v>0.02</v>
      </c>
      <c r="I47" s="71">
        <f t="shared" si="30"/>
        <v>761122.03279612539</v>
      </c>
      <c r="K47" s="64" t="s">
        <v>215</v>
      </c>
      <c r="L47" s="53">
        <f>' TAM &amp; SOM'!K12</f>
        <v>204917.47036818758</v>
      </c>
      <c r="M47" s="157">
        <v>0.5</v>
      </c>
      <c r="N47" s="57">
        <f t="shared" si="31"/>
        <v>2.9250000000000001E-4</v>
      </c>
      <c r="O47" s="83">
        <f t="shared" si="25"/>
        <v>59.938360082694871</v>
      </c>
      <c r="P47" s="60">
        <f t="shared" si="39"/>
        <v>0.02</v>
      </c>
      <c r="Q47" s="71">
        <f t="shared" si="32"/>
        <v>1198767.2016538975</v>
      </c>
      <c r="R47" s="176"/>
      <c r="S47" s="64" t="s">
        <v>215</v>
      </c>
      <c r="T47" s="53">
        <f t="shared" si="26"/>
        <v>195159.49558875008</v>
      </c>
      <c r="U47" s="157">
        <f t="shared" si="27"/>
        <v>0.13750000000000012</v>
      </c>
      <c r="V47" s="57">
        <f t="shared" si="38"/>
        <v>9.7500000000000012E-5</v>
      </c>
      <c r="W47" s="52">
        <f t="shared" si="33"/>
        <v>19.028050819903136</v>
      </c>
      <c r="X47" s="58">
        <v>0.02</v>
      </c>
      <c r="Y47" s="71">
        <f t="shared" si="34"/>
        <v>380561.0163980627</v>
      </c>
      <c r="AA47" s="167" t="s">
        <v>215</v>
      </c>
      <c r="AB47" s="53">
        <f t="shared" si="29"/>
        <v>168586.11000000004</v>
      </c>
      <c r="AC47" s="157">
        <f t="shared" si="35"/>
        <v>0.2957563977972138</v>
      </c>
      <c r="AD47" s="57">
        <f t="shared" si="28"/>
        <v>1.4625E-4</v>
      </c>
      <c r="AE47" s="52">
        <f t="shared" si="36"/>
        <v>24.655718587500008</v>
      </c>
      <c r="AF47" s="60">
        <f t="shared" si="40"/>
        <v>0.02</v>
      </c>
      <c r="AG47" s="71">
        <f t="shared" si="37"/>
        <v>493114.37175000017</v>
      </c>
    </row>
    <row r="48" spans="2:33" x14ac:dyDescent="0.35">
      <c r="B48" s="35"/>
      <c r="C48" s="64" t="s">
        <v>257</v>
      </c>
      <c r="D48" s="53"/>
      <c r="E48" s="157"/>
      <c r="F48" s="57"/>
      <c r="G48" s="83" t="e">
        <f>SUM(G40:G47)</f>
        <v>#REF!</v>
      </c>
      <c r="H48" s="58"/>
      <c r="I48" s="71"/>
      <c r="K48" s="64"/>
      <c r="L48" s="53"/>
      <c r="M48" s="157"/>
      <c r="N48" s="57"/>
      <c r="O48" s="83" t="e">
        <f>SUM(O40:O47)</f>
        <v>#REF!</v>
      </c>
      <c r="P48" s="60"/>
      <c r="Q48" s="71"/>
      <c r="R48" s="176"/>
      <c r="S48" s="64"/>
      <c r="T48" s="53"/>
      <c r="U48" s="157"/>
      <c r="V48" s="57"/>
      <c r="W48" s="52"/>
      <c r="X48" s="58"/>
      <c r="Y48" s="71"/>
      <c r="AA48" s="167"/>
      <c r="AB48" s="53"/>
      <c r="AC48" s="157"/>
      <c r="AD48" s="57"/>
      <c r="AE48" s="52"/>
      <c r="AF48" s="60"/>
      <c r="AG48" s="71"/>
    </row>
    <row r="49" spans="1:33" ht="15" thickBot="1" x14ac:dyDescent="0.4">
      <c r="B49" s="35"/>
      <c r="C49" s="65" t="s">
        <v>116</v>
      </c>
      <c r="D49" s="66"/>
      <c r="E49" s="164">
        <f>SUM(E40:E47)/8</f>
        <v>0.58750000000000002</v>
      </c>
      <c r="F49" s="67"/>
      <c r="G49" s="90"/>
      <c r="H49" s="28"/>
      <c r="I49" s="70" t="e">
        <f>SUM(I40:I46)</f>
        <v>#REF!</v>
      </c>
      <c r="K49" s="65" t="s">
        <v>116</v>
      </c>
      <c r="L49" s="66"/>
      <c r="M49" s="164">
        <f>SUM(M40:M47)/8</f>
        <v>0.80625000000000002</v>
      </c>
      <c r="N49" s="67"/>
      <c r="O49" s="90"/>
      <c r="P49" s="28"/>
      <c r="Q49" s="70" t="e">
        <f>SUM(Q40:Q46)</f>
        <v>#REF!</v>
      </c>
      <c r="R49" s="176"/>
      <c r="S49" s="65" t="s">
        <v>116</v>
      </c>
      <c r="T49" s="66"/>
      <c r="U49" s="88"/>
      <c r="V49" s="67"/>
      <c r="W49" s="66"/>
      <c r="X49" s="28"/>
      <c r="Y49" s="70" t="e">
        <f>SUM(Y40:Y46)</f>
        <v>#REF!</v>
      </c>
      <c r="AA49" s="168" t="s">
        <v>116</v>
      </c>
      <c r="AB49" s="66"/>
      <c r="AC49" s="88"/>
      <c r="AD49" s="67"/>
      <c r="AE49" s="66"/>
      <c r="AF49" s="28"/>
      <c r="AG49" s="70">
        <f>SUM(AG40:AG46)</f>
        <v>158164957.2690053</v>
      </c>
    </row>
    <row r="50" spans="1:33" ht="15" thickBot="1" x14ac:dyDescent="0.4">
      <c r="B50" s="35"/>
      <c r="C50" s="29"/>
      <c r="D50" s="38"/>
      <c r="E50" s="30"/>
      <c r="F50" s="50"/>
      <c r="G50" s="82"/>
      <c r="I50"/>
      <c r="K50"/>
      <c r="M50" s="30"/>
      <c r="O50" s="82"/>
      <c r="Q50"/>
      <c r="R50" s="176"/>
      <c r="S50" s="29"/>
      <c r="T50" s="38"/>
      <c r="V50" s="50"/>
      <c r="W50" s="38"/>
    </row>
    <row r="51" spans="1:33" x14ac:dyDescent="0.35">
      <c r="B51" s="35"/>
      <c r="C51" s="376" t="s">
        <v>168</v>
      </c>
      <c r="D51" s="377"/>
      <c r="E51" s="377"/>
      <c r="F51" s="377"/>
      <c r="G51" s="377"/>
      <c r="H51" s="377"/>
      <c r="I51" s="378"/>
      <c r="K51"/>
      <c r="M51" s="30"/>
      <c r="O51" s="82"/>
      <c r="Q51"/>
      <c r="R51" s="176"/>
      <c r="S51" s="376" t="s">
        <v>165</v>
      </c>
      <c r="T51" s="377"/>
      <c r="U51" s="377"/>
      <c r="V51" s="377"/>
      <c r="W51" s="377"/>
      <c r="X51" s="377"/>
      <c r="Y51" s="378"/>
    </row>
    <row r="52" spans="1:33" x14ac:dyDescent="0.35">
      <c r="B52" s="35"/>
      <c r="C52" s="62"/>
      <c r="D52" s="45" t="s">
        <v>82</v>
      </c>
      <c r="E52" s="32" t="s">
        <v>226</v>
      </c>
      <c r="F52" s="49" t="s">
        <v>145</v>
      </c>
      <c r="G52" s="159" t="s">
        <v>83</v>
      </c>
      <c r="H52" s="32" t="s">
        <v>143</v>
      </c>
      <c r="I52" s="68" t="s">
        <v>110</v>
      </c>
      <c r="J52" s="31"/>
      <c r="K52" s="31"/>
      <c r="L52" s="31"/>
      <c r="M52" s="158"/>
      <c r="N52" s="31"/>
      <c r="O52" s="160"/>
      <c r="P52" s="31"/>
      <c r="Q52" s="31"/>
      <c r="R52" s="176"/>
      <c r="S52" s="62"/>
      <c r="T52" s="45" t="s">
        <v>82</v>
      </c>
      <c r="U52" s="32" t="s">
        <v>226</v>
      </c>
      <c r="V52" s="49" t="s">
        <v>145</v>
      </c>
      <c r="W52" s="51" t="s">
        <v>83</v>
      </c>
      <c r="X52" s="32" t="s">
        <v>143</v>
      </c>
      <c r="Y52" s="68" t="s">
        <v>110</v>
      </c>
      <c r="Z52" s="31"/>
      <c r="AA52" s="170"/>
      <c r="AB52" s="31"/>
      <c r="AC52" s="158"/>
      <c r="AD52" s="31"/>
      <c r="AE52" s="31"/>
      <c r="AF52" s="31"/>
      <c r="AG52" s="31"/>
    </row>
    <row r="53" spans="1:33" x14ac:dyDescent="0.35">
      <c r="B53" s="35"/>
      <c r="C53" s="63" t="s">
        <v>273</v>
      </c>
      <c r="D53" s="53">
        <f>' TAM &amp; SOM'!L5</f>
        <v>11906.661481000006</v>
      </c>
      <c r="E53" s="157">
        <v>1</v>
      </c>
      <c r="F53" s="57">
        <f>N40*(1+E53)</f>
        <v>0.14400000000000002</v>
      </c>
      <c r="G53" s="83">
        <f t="shared" ref="G53:G60" si="41">F53*D53</f>
        <v>1714.5592532640012</v>
      </c>
      <c r="H53" s="58">
        <v>0.02</v>
      </c>
      <c r="I53" s="71">
        <f>H53*G53*1000000</f>
        <v>34291185.065280028</v>
      </c>
      <c r="J53" s="31"/>
      <c r="K53" s="31"/>
      <c r="L53" s="31"/>
      <c r="M53" s="32"/>
      <c r="N53" s="31"/>
      <c r="O53" s="159"/>
      <c r="P53" s="31"/>
      <c r="Q53" s="31"/>
      <c r="R53" s="176"/>
      <c r="S53" s="63" t="s">
        <v>273</v>
      </c>
      <c r="T53" s="53">
        <f t="shared" ref="T53:T60" si="42">D53</f>
        <v>11906.661481000006</v>
      </c>
      <c r="U53" s="157">
        <f t="shared" ref="U53:U60" si="43">(W53-AE40)/AE40</f>
        <v>1.2000000000000004</v>
      </c>
      <c r="V53" s="57">
        <f t="shared" ref="V53:V60" si="44">F53/2</f>
        <v>7.2000000000000008E-2</v>
      </c>
      <c r="W53" s="52">
        <f>V53*T53</f>
        <v>857.2796266320006</v>
      </c>
      <c r="X53" s="58">
        <v>0.02</v>
      </c>
      <c r="Y53" s="71">
        <f>X53*W53*1000000</f>
        <v>17145592.532640014</v>
      </c>
      <c r="Z53" s="31"/>
      <c r="AA53" s="170"/>
      <c r="AB53" s="31"/>
      <c r="AC53" s="32"/>
      <c r="AD53" s="31"/>
      <c r="AE53" s="31"/>
      <c r="AF53" s="31"/>
      <c r="AG53" s="31"/>
    </row>
    <row r="54" spans="1:33" ht="20.25" customHeight="1" x14ac:dyDescent="0.35">
      <c r="B54" s="35"/>
      <c r="C54" s="64" t="s">
        <v>35</v>
      </c>
      <c r="D54" s="53">
        <f>' TAM &amp; SOM'!L6</f>
        <v>344491.84908156411</v>
      </c>
      <c r="E54" s="157">
        <v>0.6</v>
      </c>
      <c r="F54" s="57">
        <f t="shared" ref="F54:F60" si="45">N41*1.4</f>
        <v>2.5401599999999997E-4</v>
      </c>
      <c r="G54" s="83">
        <f>F54*D54</f>
        <v>87.506441536302574</v>
      </c>
      <c r="H54" s="60">
        <f>H55</f>
        <v>0.02</v>
      </c>
      <c r="I54" s="71">
        <f>H54*G54*1000000</f>
        <v>1750128.8307260517</v>
      </c>
      <c r="K54"/>
      <c r="M54" s="30"/>
      <c r="O54" s="82"/>
      <c r="Q54"/>
      <c r="R54" s="176"/>
      <c r="S54" s="64" t="s">
        <v>35</v>
      </c>
      <c r="T54" s="53">
        <f>D54</f>
        <v>344491.84908156411</v>
      </c>
      <c r="U54" s="157">
        <f t="shared" si="43"/>
        <v>1.0570593075200008</v>
      </c>
      <c r="V54" s="57">
        <f>F54/2</f>
        <v>1.2700799999999999E-4</v>
      </c>
      <c r="W54" s="52">
        <f>V54*T54</f>
        <v>43.753220768151287</v>
      </c>
      <c r="X54" s="60">
        <f>X55</f>
        <v>0.02</v>
      </c>
      <c r="Y54" s="71">
        <f>X54*W54*1000000</f>
        <v>875064.41536302585</v>
      </c>
      <c r="AE54" s="40"/>
    </row>
    <row r="55" spans="1:33" x14ac:dyDescent="0.35">
      <c r="B55" s="35"/>
      <c r="C55" s="63" t="s">
        <v>274</v>
      </c>
      <c r="D55" s="53" t="e">
        <f>' TAM &amp; SOM'!L7+' TAM &amp; SOM'!#REF!</f>
        <v>#REF!</v>
      </c>
      <c r="E55" s="157">
        <v>0.6</v>
      </c>
      <c r="F55" s="57">
        <f t="shared" si="45"/>
        <v>8.0640000000000017E-2</v>
      </c>
      <c r="G55" s="83" t="e">
        <f t="shared" si="41"/>
        <v>#REF!</v>
      </c>
      <c r="H55" s="60">
        <f>H53</f>
        <v>0.02</v>
      </c>
      <c r="I55" s="71" t="e">
        <f t="shared" ref="I55:I60" si="46">H55*G55*1000000</f>
        <v>#REF!</v>
      </c>
      <c r="K55"/>
      <c r="M55" s="30"/>
      <c r="O55" s="82"/>
      <c r="Q55"/>
      <c r="R55" s="176"/>
      <c r="S55" s="63" t="s">
        <v>274</v>
      </c>
      <c r="T55" s="53" t="e">
        <f t="shared" si="42"/>
        <v>#REF!</v>
      </c>
      <c r="U55" s="157" t="e">
        <f t="shared" si="43"/>
        <v>#REF!</v>
      </c>
      <c r="V55" s="57">
        <f t="shared" si="44"/>
        <v>4.0320000000000009E-2</v>
      </c>
      <c r="W55" s="52" t="e">
        <f t="shared" ref="W55:W60" si="47">V55*T55</f>
        <v>#REF!</v>
      </c>
      <c r="X55" s="60">
        <f>X53</f>
        <v>0.02</v>
      </c>
      <c r="Y55" s="71" t="e">
        <f t="shared" ref="Y55:Y60" si="48">X55*W55*1000000</f>
        <v>#REF!</v>
      </c>
      <c r="AE55" s="40"/>
    </row>
    <row r="56" spans="1:33" x14ac:dyDescent="0.35">
      <c r="B56" s="35"/>
      <c r="C56" s="64" t="s">
        <v>58</v>
      </c>
      <c r="D56" s="53">
        <f>' TAM &amp; SOM'!L8</f>
        <v>219117.81992982962</v>
      </c>
      <c r="E56" s="157">
        <v>1</v>
      </c>
      <c r="F56" s="57">
        <f t="shared" si="45"/>
        <v>9.7216000000000004E-3</v>
      </c>
      <c r="G56" s="83">
        <f t="shared" si="41"/>
        <v>2130.1757982298318</v>
      </c>
      <c r="H56" s="60">
        <f>H54</f>
        <v>0.02</v>
      </c>
      <c r="I56" s="71">
        <f t="shared" si="46"/>
        <v>42603515.964596637</v>
      </c>
      <c r="K56"/>
      <c r="M56" s="30"/>
      <c r="O56" s="82"/>
      <c r="Q56"/>
      <c r="R56" s="176"/>
      <c r="S56" s="64" t="s">
        <v>58</v>
      </c>
      <c r="T56" s="53">
        <f t="shared" si="42"/>
        <v>219117.81992982962</v>
      </c>
      <c r="U56" s="157">
        <f t="shared" si="43"/>
        <v>0.78679418750000041</v>
      </c>
      <c r="V56" s="57">
        <f t="shared" si="44"/>
        <v>4.8608000000000002E-3</v>
      </c>
      <c r="W56" s="52">
        <f t="shared" si="47"/>
        <v>1065.0878991149159</v>
      </c>
      <c r="X56" s="60">
        <f>X54</f>
        <v>0.02</v>
      </c>
      <c r="Y56" s="71">
        <f t="shared" si="48"/>
        <v>21301757.982298318</v>
      </c>
      <c r="AE56" s="40"/>
    </row>
    <row r="57" spans="1:33" x14ac:dyDescent="0.35">
      <c r="B57" s="42"/>
      <c r="C57" s="64" t="s">
        <v>62</v>
      </c>
      <c r="D57" s="53">
        <f>' TAM &amp; SOM'!L9</f>
        <v>6915.8507167968764</v>
      </c>
      <c r="E57" s="157">
        <v>1</v>
      </c>
      <c r="F57" s="57">
        <f t="shared" si="45"/>
        <v>9.7216000000000004E-3</v>
      </c>
      <c r="G57" s="83">
        <f t="shared" si="41"/>
        <v>67.233134328412518</v>
      </c>
      <c r="H57" s="60">
        <f t="shared" ref="H57:H60" si="49">H56</f>
        <v>0.02</v>
      </c>
      <c r="I57" s="71">
        <f t="shared" si="46"/>
        <v>1344662.6865682504</v>
      </c>
      <c r="K57"/>
      <c r="M57" s="30"/>
      <c r="O57" s="82"/>
      <c r="Q57"/>
      <c r="R57" s="177"/>
      <c r="S57" s="64" t="s">
        <v>62</v>
      </c>
      <c r="T57" s="53">
        <f t="shared" si="42"/>
        <v>6915.8507167968764</v>
      </c>
      <c r="U57" s="157">
        <f t="shared" si="43"/>
        <v>0.78679418750000041</v>
      </c>
      <c r="V57" s="57">
        <f t="shared" si="44"/>
        <v>4.8608000000000002E-3</v>
      </c>
      <c r="W57" s="52">
        <f t="shared" si="47"/>
        <v>33.616567164206259</v>
      </c>
      <c r="X57" s="60">
        <f t="shared" ref="X57:X60" si="50">X56</f>
        <v>0.02</v>
      </c>
      <c r="Y57" s="71">
        <f t="shared" si="48"/>
        <v>672331.34328412521</v>
      </c>
      <c r="AE57" s="40"/>
    </row>
    <row r="58" spans="1:33" x14ac:dyDescent="0.35">
      <c r="B58" s="35"/>
      <c r="C58" s="64" t="s">
        <v>204</v>
      </c>
      <c r="D58" s="53">
        <f>' TAM &amp; SOM'!L10</f>
        <v>59573.951703984392</v>
      </c>
      <c r="E58" s="157">
        <v>0.75</v>
      </c>
      <c r="F58" s="57">
        <f t="shared" si="45"/>
        <v>7.3892000000000003E-3</v>
      </c>
      <c r="G58" s="83">
        <f t="shared" si="41"/>
        <v>440.20384393108151</v>
      </c>
      <c r="H58" s="60">
        <f t="shared" si="49"/>
        <v>0.02</v>
      </c>
      <c r="I58" s="71">
        <f t="shared" si="46"/>
        <v>8804076.8786216304</v>
      </c>
      <c r="K58"/>
      <c r="M58" s="30"/>
      <c r="O58" s="82"/>
      <c r="Q58"/>
      <c r="R58" s="176"/>
      <c r="S58" s="64" t="s">
        <v>204</v>
      </c>
      <c r="T58" s="53">
        <f t="shared" si="42"/>
        <v>59573.951703984392</v>
      </c>
      <c r="U58" s="157">
        <f t="shared" si="43"/>
        <v>0.78679418750000052</v>
      </c>
      <c r="V58" s="57">
        <f t="shared" si="44"/>
        <v>3.6946000000000001E-3</v>
      </c>
      <c r="W58" s="52">
        <f t="shared" si="47"/>
        <v>220.10192196554075</v>
      </c>
      <c r="X58" s="60">
        <f t="shared" si="50"/>
        <v>0.02</v>
      </c>
      <c r="Y58" s="71">
        <f t="shared" si="48"/>
        <v>4402038.4393108152</v>
      </c>
      <c r="AE58" s="40"/>
    </row>
    <row r="59" spans="1:33" x14ac:dyDescent="0.35">
      <c r="B59" s="35"/>
      <c r="C59" s="64" t="s">
        <v>207</v>
      </c>
      <c r="D59" s="53">
        <f>' TAM &amp; SOM'!L11</f>
        <v>2733.7951068749999</v>
      </c>
      <c r="E59" s="157">
        <v>1</v>
      </c>
      <c r="F59" s="57">
        <f t="shared" si="45"/>
        <v>9.0272000000000008E-3</v>
      </c>
      <c r="G59" s="83">
        <f t="shared" si="41"/>
        <v>24.678515188782001</v>
      </c>
      <c r="H59" s="60">
        <f t="shared" si="49"/>
        <v>0.02</v>
      </c>
      <c r="I59" s="71">
        <f t="shared" si="46"/>
        <v>493570.30377564003</v>
      </c>
      <c r="K59"/>
      <c r="M59" s="30"/>
      <c r="O59" s="82"/>
      <c r="Q59"/>
      <c r="R59" s="176"/>
      <c r="S59" s="64" t="s">
        <v>207</v>
      </c>
      <c r="T59" s="53">
        <f t="shared" si="42"/>
        <v>2733.7951068749999</v>
      </c>
      <c r="U59" s="157">
        <f t="shared" si="43"/>
        <v>0.78679418749999974</v>
      </c>
      <c r="V59" s="57">
        <f t="shared" si="44"/>
        <v>4.5136000000000004E-3</v>
      </c>
      <c r="W59" s="52">
        <f t="shared" si="47"/>
        <v>12.339257594391</v>
      </c>
      <c r="X59" s="60">
        <f t="shared" si="50"/>
        <v>0.02</v>
      </c>
      <c r="Y59" s="71">
        <f t="shared" si="48"/>
        <v>246785.15188782001</v>
      </c>
    </row>
    <row r="60" spans="1:33" x14ac:dyDescent="0.35">
      <c r="B60" s="35"/>
      <c r="C60" s="64" t="s">
        <v>215</v>
      </c>
      <c r="D60" s="53">
        <f>' TAM &amp; SOM'!L12</f>
        <v>215163.34388659697</v>
      </c>
      <c r="E60" s="157">
        <v>0.5</v>
      </c>
      <c r="F60" s="57">
        <f t="shared" si="45"/>
        <v>4.0949999999999998E-4</v>
      </c>
      <c r="G60" s="83">
        <f t="shared" si="41"/>
        <v>88.109389321561451</v>
      </c>
      <c r="H60" s="60">
        <f t="shared" si="49"/>
        <v>0.02</v>
      </c>
      <c r="I60" s="71">
        <f t="shared" si="46"/>
        <v>1762187.786431229</v>
      </c>
      <c r="K60"/>
      <c r="M60" s="30"/>
      <c r="O60" s="82"/>
      <c r="Q60"/>
      <c r="R60" s="176"/>
      <c r="S60" s="64" t="s">
        <v>215</v>
      </c>
      <c r="T60" s="53">
        <f t="shared" si="42"/>
        <v>215163.34388659697</v>
      </c>
      <c r="U60" s="157">
        <f t="shared" si="43"/>
        <v>0.78679418750000008</v>
      </c>
      <c r="V60" s="57">
        <f t="shared" si="44"/>
        <v>2.0474999999999999E-4</v>
      </c>
      <c r="W60" s="52">
        <f t="shared" si="47"/>
        <v>44.054694660780726</v>
      </c>
      <c r="X60" s="60">
        <f t="shared" si="50"/>
        <v>0.02</v>
      </c>
      <c r="Y60" s="71">
        <f t="shared" si="48"/>
        <v>881093.89321561449</v>
      </c>
    </row>
    <row r="61" spans="1:33" ht="15" thickBot="1" x14ac:dyDescent="0.4">
      <c r="B61" s="35"/>
      <c r="C61" s="64" t="s">
        <v>229</v>
      </c>
      <c r="D61" s="53"/>
      <c r="E61" s="157">
        <f>SUM(E53:E60)/8</f>
        <v>0.80625000000000002</v>
      </c>
      <c r="F61" s="57"/>
      <c r="G61" s="83"/>
      <c r="H61" s="60"/>
      <c r="I61" s="71"/>
      <c r="K61"/>
      <c r="M61" s="30"/>
      <c r="O61" s="82"/>
      <c r="Q61"/>
      <c r="R61" s="176"/>
      <c r="S61" s="65" t="str">
        <f>S49</f>
        <v>T.Revenue</v>
      </c>
      <c r="T61" s="66"/>
      <c r="U61" s="88"/>
      <c r="V61" s="67"/>
      <c r="W61" s="66"/>
      <c r="X61" s="28"/>
      <c r="Y61" s="70" t="e">
        <f>SUM(Y53:Y59)</f>
        <v>#REF!</v>
      </c>
    </row>
    <row r="62" spans="1:33" x14ac:dyDescent="0.35">
      <c r="B62" s="35"/>
      <c r="C62" s="64" t="s">
        <v>257</v>
      </c>
      <c r="D62" s="53" t="e">
        <f>SUM(D53:D60)</f>
        <v>#REF!</v>
      </c>
      <c r="E62" s="157"/>
      <c r="F62" s="57"/>
      <c r="G62" s="83" t="e">
        <f>SUM(G53:G60)</f>
        <v>#REF!</v>
      </c>
      <c r="H62" s="60"/>
      <c r="I62" s="71"/>
      <c r="K62"/>
      <c r="M62" s="30"/>
      <c r="O62" s="82"/>
      <c r="Q62"/>
      <c r="R62" s="176"/>
      <c r="S62" s="29"/>
      <c r="T62" s="38"/>
      <c r="V62" s="50"/>
      <c r="W62" s="38"/>
      <c r="Y62" s="100"/>
    </row>
    <row r="63" spans="1:33" ht="15" thickBot="1" x14ac:dyDescent="0.4">
      <c r="B63" s="35"/>
      <c r="C63" s="65" t="s">
        <v>116</v>
      </c>
      <c r="D63" s="66"/>
      <c r="E63" s="88"/>
      <c r="F63" s="67"/>
      <c r="G63" s="90"/>
      <c r="H63" s="28"/>
      <c r="I63" s="70" t="e">
        <f>SUM(I53:I59)</f>
        <v>#REF!</v>
      </c>
      <c r="K63"/>
      <c r="M63" s="30"/>
      <c r="O63" s="82"/>
      <c r="Q63"/>
      <c r="R63" s="176"/>
    </row>
    <row r="64" spans="1:33" s="173" customFormat="1" ht="15" thickBot="1" x14ac:dyDescent="0.4">
      <c r="A64" s="176"/>
      <c r="B64" s="101" t="s">
        <v>147</v>
      </c>
      <c r="E64" s="180"/>
      <c r="G64" s="181"/>
      <c r="M64" s="180"/>
      <c r="O64" s="181"/>
      <c r="U64" s="180"/>
      <c r="AA64" s="182"/>
      <c r="AC64" s="180"/>
    </row>
    <row r="65" spans="2:17" x14ac:dyDescent="0.35">
      <c r="B65" s="27"/>
      <c r="C65" s="376" t="s">
        <v>149</v>
      </c>
      <c r="D65" s="377"/>
      <c r="E65" s="377"/>
      <c r="F65" s="377"/>
      <c r="G65" s="377"/>
      <c r="H65" s="377"/>
      <c r="I65" s="378"/>
      <c r="J65" s="61"/>
      <c r="K65" s="376" t="s">
        <v>228</v>
      </c>
      <c r="L65" s="377"/>
      <c r="M65" s="377"/>
      <c r="N65" s="377"/>
      <c r="O65" s="377"/>
      <c r="P65" s="377"/>
      <c r="Q65" s="378"/>
    </row>
    <row r="66" spans="2:17" x14ac:dyDescent="0.35">
      <c r="B66" s="30"/>
      <c r="C66" s="62"/>
      <c r="D66" s="45" t="s">
        <v>82</v>
      </c>
      <c r="E66" s="32" t="s">
        <v>226</v>
      </c>
      <c r="F66" s="49" t="s">
        <v>145</v>
      </c>
      <c r="G66" s="159" t="s">
        <v>83</v>
      </c>
      <c r="H66" s="32" t="s">
        <v>143</v>
      </c>
      <c r="I66" s="68" t="s">
        <v>110</v>
      </c>
      <c r="J66" s="55"/>
      <c r="K66" s="62"/>
      <c r="L66" s="45" t="s">
        <v>82</v>
      </c>
      <c r="M66" s="32" t="s">
        <v>226</v>
      </c>
      <c r="N66" s="49" t="s">
        <v>145</v>
      </c>
      <c r="O66" s="159" t="s">
        <v>83</v>
      </c>
      <c r="P66" s="32" t="s">
        <v>144</v>
      </c>
      <c r="Q66" s="68" t="s">
        <v>110</v>
      </c>
    </row>
    <row r="67" spans="2:17" x14ac:dyDescent="0.35">
      <c r="B67"/>
      <c r="C67" s="63" t="s">
        <v>273</v>
      </c>
      <c r="D67" s="53">
        <f t="shared" ref="D67:D74" si="51">D14</f>
        <v>6721</v>
      </c>
      <c r="E67" s="157"/>
      <c r="F67" s="50">
        <v>5.0000000000000001E-3</v>
      </c>
      <c r="G67" s="82">
        <f>F67*D67</f>
        <v>33.605000000000004</v>
      </c>
      <c r="H67" s="11">
        <v>1.7500000000000002E-2</v>
      </c>
      <c r="I67" s="69">
        <f>H67*G67*1000000</f>
        <v>588087.50000000012</v>
      </c>
      <c r="K67" s="63" t="s">
        <v>273</v>
      </c>
      <c r="L67" s="53">
        <f t="shared" ref="L67:L74" si="52">L14</f>
        <v>7393.1</v>
      </c>
      <c r="M67" s="157">
        <f>(O67-G67)/G67</f>
        <v>16.82</v>
      </c>
      <c r="N67" s="57">
        <f t="shared" ref="N67:N74" si="53">N14*1.5</f>
        <v>8.1000000000000003E-2</v>
      </c>
      <c r="O67" s="83">
        <f>N67*L67</f>
        <v>598.8411000000001</v>
      </c>
      <c r="P67" s="58">
        <v>1.7500000000000002E-2</v>
      </c>
      <c r="Q67" s="71">
        <f>P67*O67*1000000</f>
        <v>10479719.250000002</v>
      </c>
    </row>
    <row r="68" spans="2:17" x14ac:dyDescent="0.35">
      <c r="B68" s="36"/>
      <c r="C68" s="64" t="s">
        <v>35</v>
      </c>
      <c r="D68" s="53">
        <f t="shared" si="51"/>
        <v>217088.3</v>
      </c>
      <c r="E68" s="157"/>
      <c r="F68" s="50">
        <v>0</v>
      </c>
      <c r="G68" s="82">
        <f>F68*D68</f>
        <v>0</v>
      </c>
      <c r="H68" s="11">
        <v>1.7500000000000002E-2</v>
      </c>
      <c r="I68" s="12"/>
      <c r="J68" s="36"/>
      <c r="K68" s="64" t="s">
        <v>35</v>
      </c>
      <c r="L68" s="53">
        <f t="shared" si="52"/>
        <v>234455.364</v>
      </c>
      <c r="M68" s="157">
        <v>0</v>
      </c>
      <c r="N68" s="57">
        <f t="shared" si="53"/>
        <v>7.5000000000000007E-5</v>
      </c>
      <c r="O68" s="83">
        <f>N68*L68</f>
        <v>17.584152300000003</v>
      </c>
      <c r="P68" s="60">
        <v>1.7500000000000002E-2</v>
      </c>
      <c r="Q68" s="71">
        <f>P68*O68*1000000</f>
        <v>307722.66525000008</v>
      </c>
    </row>
    <row r="69" spans="2:17" ht="15.75" customHeight="1" x14ac:dyDescent="0.35">
      <c r="B69" s="42"/>
      <c r="C69" s="63" t="s">
        <v>274</v>
      </c>
      <c r="D69" s="53" t="e">
        <f t="shared" si="51"/>
        <v>#REF!</v>
      </c>
      <c r="E69" s="157"/>
      <c r="F69" s="50">
        <v>1E-3</v>
      </c>
      <c r="G69" s="82" t="e">
        <f t="shared" ref="G69:G74" si="54">F69*D69</f>
        <v>#REF!</v>
      </c>
      <c r="H69" s="11">
        <v>1.7500000000000002E-2</v>
      </c>
      <c r="I69" s="12"/>
      <c r="J69" s="42"/>
      <c r="K69" s="63" t="s">
        <v>274</v>
      </c>
      <c r="L69" s="53">
        <f t="shared" si="52"/>
        <v>234455.364</v>
      </c>
      <c r="M69" s="157" t="e">
        <f t="shared" ref="M69" si="55">(O69-G69)/G69</f>
        <v>#REF!</v>
      </c>
      <c r="N69" s="57">
        <f t="shared" si="53"/>
        <v>7.4999999999999997E-3</v>
      </c>
      <c r="O69" s="83">
        <f t="shared" ref="O69:O74" si="56">N69*L69</f>
        <v>1758.4152299999998</v>
      </c>
      <c r="P69" s="60">
        <v>1.7500000000000002E-2</v>
      </c>
      <c r="Q69" s="71">
        <f t="shared" ref="Q69:Q74" si="57">P69*O69*1000000</f>
        <v>30772266.524999999</v>
      </c>
    </row>
    <row r="70" spans="2:17" x14ac:dyDescent="0.35">
      <c r="B70" s="35"/>
      <c r="C70" s="64" t="s">
        <v>58</v>
      </c>
      <c r="D70" s="53">
        <f t="shared" si="51"/>
        <v>163509.09090909091</v>
      </c>
      <c r="E70" s="157"/>
      <c r="F70" s="50">
        <f>F17*1.5</f>
        <v>0</v>
      </c>
      <c r="G70" s="82">
        <f t="shared" si="54"/>
        <v>0</v>
      </c>
      <c r="H70" s="11">
        <v>1.7500000000000002E-2</v>
      </c>
      <c r="I70" s="12"/>
      <c r="J70" s="35"/>
      <c r="K70" s="64" t="s">
        <v>58</v>
      </c>
      <c r="L70" s="53">
        <f t="shared" si="52"/>
        <v>171684.54545454547</v>
      </c>
      <c r="M70" s="157">
        <v>0</v>
      </c>
      <c r="N70" s="57">
        <f t="shared" si="53"/>
        <v>1.5E-3</v>
      </c>
      <c r="O70" s="83">
        <f t="shared" si="56"/>
        <v>257.52681818181821</v>
      </c>
      <c r="P70" s="60">
        <v>1.7500000000000002E-2</v>
      </c>
      <c r="Q70" s="71">
        <f t="shared" si="57"/>
        <v>4506719.3181818193</v>
      </c>
    </row>
    <row r="71" spans="2:17" x14ac:dyDescent="0.35">
      <c r="B71" s="36"/>
      <c r="C71" s="64" t="s">
        <v>62</v>
      </c>
      <c r="D71" s="53">
        <f t="shared" si="51"/>
        <v>5160.7142857142853</v>
      </c>
      <c r="E71" s="157"/>
      <c r="F71" s="50">
        <f>F18*1.5</f>
        <v>0</v>
      </c>
      <c r="G71" s="82">
        <f t="shared" si="54"/>
        <v>0</v>
      </c>
      <c r="H71" s="11">
        <v>1.7500000000000002E-2</v>
      </c>
      <c r="I71" s="12"/>
      <c r="J71" s="36"/>
      <c r="K71" s="64" t="s">
        <v>62</v>
      </c>
      <c r="L71" s="53">
        <f t="shared" si="52"/>
        <v>5418.75</v>
      </c>
      <c r="M71" s="157">
        <v>0</v>
      </c>
      <c r="N71" s="57">
        <f t="shared" si="53"/>
        <v>1.5E-3</v>
      </c>
      <c r="O71" s="83">
        <f t="shared" si="56"/>
        <v>8.1281250000000007</v>
      </c>
      <c r="P71" s="60">
        <v>1.7500000000000002E-2</v>
      </c>
      <c r="Q71" s="71">
        <f t="shared" si="57"/>
        <v>142242.18750000003</v>
      </c>
    </row>
    <row r="72" spans="2:17" x14ac:dyDescent="0.35">
      <c r="B72" s="36"/>
      <c r="C72" s="64" t="s">
        <v>204</v>
      </c>
      <c r="D72" s="53">
        <f t="shared" si="51"/>
        <v>44455</v>
      </c>
      <c r="E72" s="157"/>
      <c r="F72" s="50">
        <f>F19*1.5</f>
        <v>0</v>
      </c>
      <c r="G72" s="82">
        <f t="shared" si="54"/>
        <v>0</v>
      </c>
      <c r="H72" s="11">
        <v>1.7500000000000002E-2</v>
      </c>
      <c r="I72" s="12"/>
      <c r="J72" s="36"/>
      <c r="K72" s="64" t="s">
        <v>204</v>
      </c>
      <c r="L72" s="53">
        <f t="shared" si="52"/>
        <v>46677.75</v>
      </c>
      <c r="M72" s="157">
        <v>0</v>
      </c>
      <c r="N72" s="57">
        <f t="shared" si="53"/>
        <v>1.5E-3</v>
      </c>
      <c r="O72" s="83">
        <f t="shared" si="56"/>
        <v>70.016625000000005</v>
      </c>
      <c r="P72" s="60">
        <v>1.7500000000000002E-2</v>
      </c>
      <c r="Q72" s="71">
        <f t="shared" si="57"/>
        <v>1225290.9375000002</v>
      </c>
    </row>
    <row r="73" spans="2:17" x14ac:dyDescent="0.35">
      <c r="B73" s="36"/>
      <c r="C73" s="64" t="s">
        <v>207</v>
      </c>
      <c r="D73" s="53">
        <f t="shared" si="51"/>
        <v>2040</v>
      </c>
      <c r="E73" s="157"/>
      <c r="F73" s="50">
        <f>F20*1.5</f>
        <v>0</v>
      </c>
      <c r="G73" s="82">
        <f t="shared" si="54"/>
        <v>0</v>
      </c>
      <c r="H73" s="11">
        <v>1.7500000000000002E-2</v>
      </c>
      <c r="I73" s="12"/>
      <c r="J73" s="36"/>
      <c r="K73" s="64" t="s">
        <v>207</v>
      </c>
      <c r="L73" s="53">
        <f t="shared" si="52"/>
        <v>2142</v>
      </c>
      <c r="M73" s="157">
        <v>0</v>
      </c>
      <c r="N73" s="57">
        <f t="shared" si="53"/>
        <v>1.5E-3</v>
      </c>
      <c r="O73" s="83">
        <f t="shared" si="56"/>
        <v>3.2130000000000001</v>
      </c>
      <c r="P73" s="60">
        <v>1.7500000000000002E-2</v>
      </c>
      <c r="Q73" s="71">
        <f t="shared" si="57"/>
        <v>56227.500000000007</v>
      </c>
    </row>
    <row r="74" spans="2:17" x14ac:dyDescent="0.35">
      <c r="B74" s="36"/>
      <c r="C74" s="64" t="s">
        <v>215</v>
      </c>
      <c r="D74" s="53">
        <f t="shared" si="51"/>
        <v>160558.20000000004</v>
      </c>
      <c r="E74" s="157"/>
      <c r="F74" s="50">
        <f>F21*1.5</f>
        <v>0</v>
      </c>
      <c r="G74" s="82">
        <f t="shared" si="54"/>
        <v>0</v>
      </c>
      <c r="H74" s="11">
        <v>1.7500000000000002E-2</v>
      </c>
      <c r="I74" s="12"/>
      <c r="J74" s="36"/>
      <c r="K74" s="64" t="s">
        <v>215</v>
      </c>
      <c r="L74" s="53">
        <f t="shared" si="52"/>
        <v>168586.11000000004</v>
      </c>
      <c r="M74" s="157">
        <v>0</v>
      </c>
      <c r="N74" s="57">
        <f t="shared" si="53"/>
        <v>1.5000000000000001E-4</v>
      </c>
      <c r="O74" s="83">
        <f t="shared" si="56"/>
        <v>25.287916500000009</v>
      </c>
      <c r="P74" s="60">
        <v>1.7500000000000002E-2</v>
      </c>
      <c r="Q74" s="71">
        <f t="shared" si="57"/>
        <v>442538.53875000018</v>
      </c>
    </row>
    <row r="75" spans="2:17" ht="15" thickBot="1" x14ac:dyDescent="0.4">
      <c r="B75" s="36"/>
      <c r="C75" s="65" t="s">
        <v>116</v>
      </c>
      <c r="D75" s="66"/>
      <c r="E75" s="88"/>
      <c r="F75" s="67"/>
      <c r="G75" s="90"/>
      <c r="H75" s="28"/>
      <c r="I75" s="70">
        <f>SUM(I67:I73)</f>
        <v>588087.50000000012</v>
      </c>
      <c r="J75" s="36"/>
      <c r="K75" s="65" t="s">
        <v>116</v>
      </c>
      <c r="L75" s="66"/>
      <c r="M75" s="88"/>
      <c r="N75" s="67"/>
      <c r="O75" s="90"/>
      <c r="P75" s="28"/>
      <c r="Q75" s="70">
        <f>SUM(Q67:Q74)</f>
        <v>47932726.922181822</v>
      </c>
    </row>
    <row r="76" spans="2:17" ht="15" thickBot="1" x14ac:dyDescent="0.4">
      <c r="C76" s="29"/>
      <c r="D76" s="38"/>
      <c r="E76" s="30"/>
      <c r="F76" s="50"/>
      <c r="G76" s="82"/>
      <c r="H76" s="37"/>
      <c r="I76"/>
      <c r="J76" s="36"/>
      <c r="K76" s="29"/>
      <c r="L76" s="11"/>
      <c r="M76" s="30"/>
      <c r="N76" s="37"/>
      <c r="O76" s="82"/>
      <c r="P76" s="38"/>
      <c r="Q76"/>
    </row>
    <row r="77" spans="2:17" x14ac:dyDescent="0.35">
      <c r="B77"/>
      <c r="C77" s="376" t="s">
        <v>81</v>
      </c>
      <c r="D77" s="377"/>
      <c r="E77" s="377"/>
      <c r="F77" s="377"/>
      <c r="G77" s="377"/>
      <c r="H77" s="377"/>
      <c r="I77" s="378"/>
      <c r="J77" s="36"/>
      <c r="K77" s="376" t="s">
        <v>84</v>
      </c>
      <c r="L77" s="377"/>
      <c r="M77" s="377"/>
      <c r="N77" s="377"/>
      <c r="O77" s="377"/>
      <c r="P77" s="377"/>
      <c r="Q77" s="378"/>
    </row>
    <row r="78" spans="2:17" x14ac:dyDescent="0.35">
      <c r="B78"/>
      <c r="C78" s="62"/>
      <c r="D78" s="45" t="s">
        <v>82</v>
      </c>
      <c r="E78" s="32" t="s">
        <v>226</v>
      </c>
      <c r="F78" s="49" t="s">
        <v>145</v>
      </c>
      <c r="G78" s="159" t="s">
        <v>83</v>
      </c>
      <c r="H78" s="32" t="s">
        <v>144</v>
      </c>
      <c r="I78" s="68" t="s">
        <v>110</v>
      </c>
      <c r="K78" s="62"/>
      <c r="L78" s="45" t="s">
        <v>82</v>
      </c>
      <c r="M78" s="32" t="s">
        <v>226</v>
      </c>
      <c r="N78" s="49" t="s">
        <v>145</v>
      </c>
      <c r="O78" s="159" t="s">
        <v>83</v>
      </c>
      <c r="P78" s="32" t="s">
        <v>143</v>
      </c>
      <c r="Q78" s="68" t="s">
        <v>110</v>
      </c>
    </row>
    <row r="79" spans="2:17" x14ac:dyDescent="0.35">
      <c r="B79" s="42"/>
      <c r="C79" s="63" t="s">
        <v>273</v>
      </c>
      <c r="D79" s="53">
        <f t="shared" ref="D79:D86" si="58">D27</f>
        <v>8132.4100000000008</v>
      </c>
      <c r="E79" s="157">
        <f t="shared" ref="E79:E86" si="59">(G79-O67)/O67</f>
        <v>-0.79629629629629628</v>
      </c>
      <c r="F79" s="57">
        <f t="shared" ref="F79:F86" si="60">F27*1.5</f>
        <v>1.4999999999999999E-2</v>
      </c>
      <c r="G79" s="83">
        <f>F79*D79</f>
        <v>121.98615000000001</v>
      </c>
      <c r="H79" s="58">
        <v>1.7500000000000002E-2</v>
      </c>
      <c r="I79" s="71">
        <f>H79*G79*1000000</f>
        <v>2134757.625</v>
      </c>
      <c r="J79" s="42"/>
      <c r="K79" s="63" t="s">
        <v>273</v>
      </c>
      <c r="L79" s="53">
        <f t="shared" ref="L79:L86" si="61">L27</f>
        <v>8945.6510000000017</v>
      </c>
      <c r="M79" s="157">
        <f>(O79-G79)/G79</f>
        <v>1.2000000000000002</v>
      </c>
      <c r="N79" s="57">
        <f>N27*1.5</f>
        <v>0.03</v>
      </c>
      <c r="O79" s="83">
        <f>N79*L79</f>
        <v>268.36953000000005</v>
      </c>
      <c r="P79" s="58">
        <v>1.7500000000000002E-2</v>
      </c>
      <c r="Q79" s="71">
        <f>P79*O79*1000000</f>
        <v>4696466.7750000013</v>
      </c>
    </row>
    <row r="80" spans="2:17" x14ac:dyDescent="0.35">
      <c r="C80" s="64" t="s">
        <v>35</v>
      </c>
      <c r="D80" s="53">
        <f t="shared" si="58"/>
        <v>253211.79312000002</v>
      </c>
      <c r="E80" s="157">
        <f t="shared" si="59"/>
        <v>0.29599999999999999</v>
      </c>
      <c r="F80" s="57">
        <f t="shared" si="60"/>
        <v>9.0000000000000006E-5</v>
      </c>
      <c r="G80" s="83">
        <f>F80*D80</f>
        <v>22.789061380800003</v>
      </c>
      <c r="H80" s="60">
        <v>1.7500000000000002E-2</v>
      </c>
      <c r="I80" s="71">
        <f>H80*G80*1000000</f>
        <v>398808.57416400011</v>
      </c>
      <c r="J80" s="36"/>
      <c r="K80" s="64" t="s">
        <v>35</v>
      </c>
      <c r="L80" s="53">
        <f t="shared" si="61"/>
        <v>273468.73656960006</v>
      </c>
      <c r="M80" s="157">
        <f>(O80-G80)/G80</f>
        <v>0.62000000000000011</v>
      </c>
      <c r="N80" s="57">
        <f>F80*1.5</f>
        <v>1.35E-4</v>
      </c>
      <c r="O80" s="83">
        <f>N80*L80</f>
        <v>36.918279436896007</v>
      </c>
      <c r="P80" s="60">
        <v>1.7500000000000002E-2</v>
      </c>
      <c r="Q80" s="71">
        <f>P80*O80*1000000</f>
        <v>646069.89014568017</v>
      </c>
    </row>
    <row r="81" spans="2:17" ht="15.75" customHeight="1" x14ac:dyDescent="0.35">
      <c r="C81" s="63" t="s">
        <v>274</v>
      </c>
      <c r="D81" s="53" t="e">
        <f t="shared" si="58"/>
        <v>#REF!</v>
      </c>
      <c r="E81" s="157" t="e">
        <f t="shared" si="59"/>
        <v>#REF!</v>
      </c>
      <c r="F81" s="57">
        <f t="shared" si="60"/>
        <v>1.4999999999999999E-2</v>
      </c>
      <c r="G81" s="83" t="e">
        <f t="shared" ref="G81:G87" si="62">F81*D81</f>
        <v>#REF!</v>
      </c>
      <c r="H81" s="60">
        <v>1.7500000000000002E-2</v>
      </c>
      <c r="I81" s="71" t="e">
        <f t="shared" ref="I81:I86" si="63">H81*G81*1000000</f>
        <v>#REF!</v>
      </c>
      <c r="J81" s="35"/>
      <c r="K81" s="63" t="s">
        <v>274</v>
      </c>
      <c r="L81" s="53" t="e">
        <f t="shared" si="61"/>
        <v>#REF!</v>
      </c>
      <c r="M81" s="157" t="e">
        <f t="shared" ref="M81:M86" si="64">(O81-G81)/G81</f>
        <v>#REF!</v>
      </c>
      <c r="N81" s="57">
        <f t="shared" ref="N81:N87" si="65">F81*1.5</f>
        <v>2.2499999999999999E-2</v>
      </c>
      <c r="O81" s="83" t="e">
        <f t="shared" ref="O81:O86" si="66">N81*L81</f>
        <v>#REF!</v>
      </c>
      <c r="P81" s="60">
        <v>1.7500000000000002E-2</v>
      </c>
      <c r="Q81" s="71" t="e">
        <f t="shared" ref="Q81:Q86" si="67">P81*O81*1000000</f>
        <v>#REF!</v>
      </c>
    </row>
    <row r="82" spans="2:17" x14ac:dyDescent="0.35">
      <c r="C82" s="64" t="s">
        <v>58</v>
      </c>
      <c r="D82" s="53">
        <f t="shared" si="58"/>
        <v>180268.77272727276</v>
      </c>
      <c r="E82" s="157">
        <f t="shared" si="59"/>
        <v>0.46999999999999992</v>
      </c>
      <c r="F82" s="57">
        <f t="shared" si="60"/>
        <v>2.0999999999999999E-3</v>
      </c>
      <c r="G82" s="83">
        <f t="shared" si="62"/>
        <v>378.56442272727276</v>
      </c>
      <c r="H82" s="60">
        <v>1.7500000000000002E-2</v>
      </c>
      <c r="I82" s="71">
        <f t="shared" si="63"/>
        <v>6624877.3977272743</v>
      </c>
      <c r="J82" s="36"/>
      <c r="K82" s="64" t="s">
        <v>58</v>
      </c>
      <c r="L82" s="53">
        <f t="shared" si="61"/>
        <v>189282.21136363642</v>
      </c>
      <c r="M82" s="157">
        <f t="shared" si="64"/>
        <v>0.5750000000000004</v>
      </c>
      <c r="N82" s="57">
        <f t="shared" si="65"/>
        <v>3.15E-3</v>
      </c>
      <c r="O82" s="83">
        <f t="shared" si="66"/>
        <v>596.23896579545476</v>
      </c>
      <c r="P82" s="60">
        <v>1.7500000000000002E-2</v>
      </c>
      <c r="Q82" s="71">
        <f t="shared" si="67"/>
        <v>10434181.901420459</v>
      </c>
    </row>
    <row r="83" spans="2:17" x14ac:dyDescent="0.35">
      <c r="C83" s="64" t="s">
        <v>62</v>
      </c>
      <c r="D83" s="53">
        <f t="shared" si="58"/>
        <v>5689.6875</v>
      </c>
      <c r="E83" s="157">
        <f t="shared" si="59"/>
        <v>0.46999999999999981</v>
      </c>
      <c r="F83" s="57">
        <f t="shared" si="60"/>
        <v>2.0999999999999999E-3</v>
      </c>
      <c r="G83" s="83">
        <f t="shared" si="62"/>
        <v>11.948343749999999</v>
      </c>
      <c r="H83" s="60">
        <v>1.7500000000000002E-2</v>
      </c>
      <c r="I83" s="71">
        <f t="shared" si="63"/>
        <v>209096.01562500003</v>
      </c>
      <c r="J83" s="36"/>
      <c r="K83" s="64" t="s">
        <v>62</v>
      </c>
      <c r="L83" s="53">
        <f t="shared" si="61"/>
        <v>5974.171875</v>
      </c>
      <c r="M83" s="157">
        <f t="shared" si="64"/>
        <v>0.57499999999999996</v>
      </c>
      <c r="N83" s="57">
        <f t="shared" si="65"/>
        <v>3.15E-3</v>
      </c>
      <c r="O83" s="83">
        <f t="shared" si="66"/>
        <v>18.818641406249998</v>
      </c>
      <c r="P83" s="60">
        <v>1.7500000000000002E-2</v>
      </c>
      <c r="Q83" s="71">
        <f t="shared" si="67"/>
        <v>329326.224609375</v>
      </c>
    </row>
    <row r="84" spans="2:17" x14ac:dyDescent="0.35">
      <c r="C84" s="64" t="s">
        <v>204</v>
      </c>
      <c r="D84" s="53">
        <f t="shared" si="58"/>
        <v>49011.637500000004</v>
      </c>
      <c r="E84" s="157">
        <f t="shared" si="59"/>
        <v>0.36500000000000032</v>
      </c>
      <c r="F84" s="57">
        <f t="shared" si="60"/>
        <v>1.9500000000000003E-3</v>
      </c>
      <c r="G84" s="83">
        <f t="shared" si="62"/>
        <v>95.572693125000029</v>
      </c>
      <c r="H84" s="60">
        <v>1.7500000000000002E-2</v>
      </c>
      <c r="I84" s="71">
        <f t="shared" si="63"/>
        <v>1672522.1296875007</v>
      </c>
      <c r="J84" s="36"/>
      <c r="K84" s="64" t="s">
        <v>204</v>
      </c>
      <c r="L84" s="53">
        <f t="shared" si="61"/>
        <v>51462.219375000008</v>
      </c>
      <c r="M84" s="157">
        <f t="shared" si="64"/>
        <v>0.57499999999999996</v>
      </c>
      <c r="N84" s="57">
        <f t="shared" si="65"/>
        <v>2.9250000000000005E-3</v>
      </c>
      <c r="O84" s="83">
        <f t="shared" si="66"/>
        <v>150.52699167187504</v>
      </c>
      <c r="P84" s="60">
        <v>1.7500000000000002E-2</v>
      </c>
      <c r="Q84" s="71">
        <f t="shared" si="67"/>
        <v>2634222.3542578137</v>
      </c>
    </row>
    <row r="85" spans="2:17" x14ac:dyDescent="0.35">
      <c r="B85"/>
      <c r="C85" s="64" t="s">
        <v>207</v>
      </c>
      <c r="D85" s="53">
        <f t="shared" si="58"/>
        <v>2249.1</v>
      </c>
      <c r="E85" s="157">
        <f t="shared" si="59"/>
        <v>0.36500000000000027</v>
      </c>
      <c r="F85" s="57">
        <f t="shared" si="60"/>
        <v>1.9500000000000003E-3</v>
      </c>
      <c r="G85" s="83">
        <f t="shared" si="62"/>
        <v>4.3857450000000009</v>
      </c>
      <c r="H85" s="60">
        <v>1.7500000000000002E-2</v>
      </c>
      <c r="I85" s="71">
        <f t="shared" si="63"/>
        <v>76750.53750000002</v>
      </c>
      <c r="J85" s="36"/>
      <c r="K85" s="64" t="s">
        <v>207</v>
      </c>
      <c r="L85" s="53">
        <f t="shared" si="61"/>
        <v>2361.5549999999998</v>
      </c>
      <c r="M85" s="157">
        <f t="shared" si="64"/>
        <v>0.57499999999999996</v>
      </c>
      <c r="N85" s="57">
        <f t="shared" si="65"/>
        <v>2.9250000000000005E-3</v>
      </c>
      <c r="O85" s="83">
        <f t="shared" si="66"/>
        <v>6.9075483750000011</v>
      </c>
      <c r="P85" s="60">
        <v>1.7500000000000002E-2</v>
      </c>
      <c r="Q85" s="71">
        <f t="shared" si="67"/>
        <v>120882.09656250002</v>
      </c>
    </row>
    <row r="86" spans="2:17" x14ac:dyDescent="0.35">
      <c r="B86"/>
      <c r="C86" s="64" t="s">
        <v>215</v>
      </c>
      <c r="D86" s="53">
        <f t="shared" si="58"/>
        <v>177015.41550000006</v>
      </c>
      <c r="E86" s="157">
        <f t="shared" si="59"/>
        <v>0.26000000000000012</v>
      </c>
      <c r="F86" s="57">
        <f t="shared" si="60"/>
        <v>1.8000000000000001E-4</v>
      </c>
      <c r="G86" s="83">
        <f t="shared" si="62"/>
        <v>31.862774790000014</v>
      </c>
      <c r="H86" s="60">
        <v>1.7500000000000002E-2</v>
      </c>
      <c r="I86" s="71">
        <f t="shared" si="63"/>
        <v>557598.55882500031</v>
      </c>
      <c r="K86" s="64" t="s">
        <v>215</v>
      </c>
      <c r="L86" s="53">
        <f t="shared" si="61"/>
        <v>185866.18627500007</v>
      </c>
      <c r="M86" s="157">
        <f t="shared" si="64"/>
        <v>0.57499999999999996</v>
      </c>
      <c r="N86" s="57">
        <f t="shared" si="65"/>
        <v>2.7E-4</v>
      </c>
      <c r="O86" s="83">
        <f t="shared" si="66"/>
        <v>50.183870294250021</v>
      </c>
      <c r="P86" s="60">
        <v>1.7500000000000002E-2</v>
      </c>
      <c r="Q86" s="71">
        <f t="shared" si="67"/>
        <v>878217.73014937539</v>
      </c>
    </row>
    <row r="87" spans="2:17" ht="15" thickBot="1" x14ac:dyDescent="0.4">
      <c r="B87"/>
      <c r="C87" s="65" t="s">
        <v>116</v>
      </c>
      <c r="D87" s="66" t="e">
        <f>SUM(D79:D86)</f>
        <v>#REF!</v>
      </c>
      <c r="E87" s="88" t="e">
        <f>SUM(E79:E86)/8</f>
        <v>#REF!</v>
      </c>
      <c r="F87" s="67">
        <f>SUM(F79:F86)</f>
        <v>3.8369999999999994E-2</v>
      </c>
      <c r="G87" s="90" t="e">
        <f t="shared" si="62"/>
        <v>#REF!</v>
      </c>
      <c r="H87" s="28"/>
      <c r="I87" s="70" t="e">
        <f>SUM(I79:I85)</f>
        <v>#REF!</v>
      </c>
      <c r="K87" s="65" t="s">
        <v>116</v>
      </c>
      <c r="L87" s="66"/>
      <c r="M87" s="88"/>
      <c r="N87" s="67">
        <f t="shared" si="65"/>
        <v>5.7554999999999995E-2</v>
      </c>
      <c r="O87" s="90"/>
      <c r="P87" s="28"/>
      <c r="Q87" s="70" t="e">
        <f>SUM(Q79:Q85)</f>
        <v>#REF!</v>
      </c>
    </row>
    <row r="88" spans="2:17" ht="15" thickBot="1" x14ac:dyDescent="0.4">
      <c r="B88"/>
      <c r="C88" s="29"/>
      <c r="D88" s="38"/>
      <c r="E88" s="30"/>
      <c r="F88" s="50"/>
      <c r="G88" s="82"/>
      <c r="H88" s="37"/>
      <c r="I88"/>
      <c r="K88"/>
      <c r="M88" s="30"/>
      <c r="O88" s="82"/>
      <c r="Q88"/>
    </row>
    <row r="89" spans="2:17" x14ac:dyDescent="0.35">
      <c r="B89"/>
      <c r="C89" s="376" t="s">
        <v>85</v>
      </c>
      <c r="D89" s="377"/>
      <c r="E89" s="377"/>
      <c r="F89" s="377"/>
      <c r="G89" s="377"/>
      <c r="H89" s="377"/>
      <c r="I89" s="378"/>
      <c r="K89" s="376" t="s">
        <v>86</v>
      </c>
      <c r="L89" s="377"/>
      <c r="M89" s="377"/>
      <c r="N89" s="377"/>
      <c r="O89" s="377"/>
      <c r="P89" s="377"/>
      <c r="Q89" s="378"/>
    </row>
    <row r="90" spans="2:17" x14ac:dyDescent="0.35">
      <c r="B90"/>
      <c r="C90" s="62"/>
      <c r="D90" s="45" t="s">
        <v>82</v>
      </c>
      <c r="E90" s="32" t="s">
        <v>226</v>
      </c>
      <c r="F90" s="49" t="s">
        <v>145</v>
      </c>
      <c r="G90" s="159" t="s">
        <v>83</v>
      </c>
      <c r="H90" s="32" t="s">
        <v>143</v>
      </c>
      <c r="I90" s="68" t="s">
        <v>110</v>
      </c>
      <c r="K90" s="62"/>
      <c r="L90" s="45" t="s">
        <v>82</v>
      </c>
      <c r="M90" s="32" t="s">
        <v>226</v>
      </c>
      <c r="N90" s="49" t="s">
        <v>145</v>
      </c>
      <c r="O90" s="159" t="s">
        <v>83</v>
      </c>
      <c r="P90" s="32" t="s">
        <v>143</v>
      </c>
      <c r="Q90" s="68" t="s">
        <v>110</v>
      </c>
    </row>
    <row r="91" spans="2:17" x14ac:dyDescent="0.35">
      <c r="B91"/>
      <c r="C91" s="63" t="s">
        <v>273</v>
      </c>
      <c r="D91" s="53">
        <f t="shared" ref="D91:D98" si="68">D40</f>
        <v>9840.2161000000033</v>
      </c>
      <c r="E91" s="157">
        <f t="shared" ref="E91:E98" si="69">(G91-O79)/O79</f>
        <v>0.98000000000000032</v>
      </c>
      <c r="F91" s="57">
        <f t="shared" ref="F91:F98" si="70">F40*1.5</f>
        <v>5.4000000000000006E-2</v>
      </c>
      <c r="G91" s="83">
        <f>F91*D91</f>
        <v>531.3716694000002</v>
      </c>
      <c r="H91" s="58">
        <v>0.02</v>
      </c>
      <c r="I91" s="71">
        <f>H91*G91*1000000</f>
        <v>10627433.388000004</v>
      </c>
      <c r="K91" s="63" t="s">
        <v>273</v>
      </c>
      <c r="L91" s="53">
        <f t="shared" ref="L91:L98" si="71">L40</f>
        <v>10824.237710000005</v>
      </c>
      <c r="M91" s="157">
        <f>(O91-G91)/G91</f>
        <v>1.2000000000000006</v>
      </c>
      <c r="N91" s="57">
        <f t="shared" ref="N91:N98" si="72">N40*1.5</f>
        <v>0.10800000000000001</v>
      </c>
      <c r="O91" s="83">
        <f>N91*L91</f>
        <v>1169.0176726800007</v>
      </c>
      <c r="P91" s="58">
        <v>0.02</v>
      </c>
      <c r="Q91" s="71">
        <f>P91*O91*1000000</f>
        <v>23380353.453600015</v>
      </c>
    </row>
    <row r="92" spans="2:17" x14ac:dyDescent="0.35">
      <c r="B92"/>
      <c r="C92" s="64" t="s">
        <v>35</v>
      </c>
      <c r="D92" s="53" t="e">
        <f t="shared" si="68"/>
        <v>#REF!</v>
      </c>
      <c r="E92" s="157" t="e">
        <f t="shared" si="69"/>
        <v>#REF!</v>
      </c>
      <c r="F92" s="57">
        <f t="shared" si="70"/>
        <v>1.7009999999999999E-4</v>
      </c>
      <c r="G92" s="83" t="e">
        <f>F92*D92</f>
        <v>#REF!</v>
      </c>
      <c r="H92" s="58">
        <v>0.02</v>
      </c>
      <c r="I92" s="71" t="e">
        <f>H92*G92*1000000</f>
        <v>#REF!</v>
      </c>
      <c r="K92" s="64" t="s">
        <v>35</v>
      </c>
      <c r="L92" s="53">
        <f t="shared" si="71"/>
        <v>318973.93433478154</v>
      </c>
      <c r="M92" s="157" t="e">
        <f>(O92-G92)/G92</f>
        <v>#REF!</v>
      </c>
      <c r="N92" s="57">
        <f t="shared" si="72"/>
        <v>2.7216000000000002E-4</v>
      </c>
      <c r="O92" s="83">
        <f>N92*L92</f>
        <v>86.811945968554156</v>
      </c>
      <c r="P92" s="60">
        <f>P93</f>
        <v>0.02</v>
      </c>
      <c r="Q92" s="71">
        <f>P92*O92*1000000</f>
        <v>1736238.9193710831</v>
      </c>
    </row>
    <row r="93" spans="2:17" ht="15" customHeight="1" x14ac:dyDescent="0.35">
      <c r="B93"/>
      <c r="C93" s="63" t="s">
        <v>274</v>
      </c>
      <c r="D93" s="53" t="e">
        <f t="shared" si="68"/>
        <v>#REF!</v>
      </c>
      <c r="E93" s="157" t="e">
        <f t="shared" si="69"/>
        <v>#REF!</v>
      </c>
      <c r="F93" s="57">
        <f t="shared" si="70"/>
        <v>5.4000000000000006E-2</v>
      </c>
      <c r="G93" s="83" t="e">
        <f t="shared" ref="G93:G98" si="73">F93*D93</f>
        <v>#REF!</v>
      </c>
      <c r="H93" s="58">
        <v>0.02</v>
      </c>
      <c r="I93" s="71" t="e">
        <f t="shared" ref="I93:I98" si="74">H93*G93*1000000</f>
        <v>#REF!</v>
      </c>
      <c r="K93" s="63" t="s">
        <v>274</v>
      </c>
      <c r="L93" s="53" t="e">
        <f t="shared" si="71"/>
        <v>#REF!</v>
      </c>
      <c r="M93" s="157" t="e">
        <f t="shared" ref="M93:M98" si="75">(O93-G93)/G93</f>
        <v>#REF!</v>
      </c>
      <c r="N93" s="57">
        <f t="shared" si="72"/>
        <v>8.6400000000000018E-2</v>
      </c>
      <c r="O93" s="83" t="e">
        <f t="shared" ref="O93:O98" si="76">N93*L93</f>
        <v>#REF!</v>
      </c>
      <c r="P93" s="60">
        <f>P91</f>
        <v>0.02</v>
      </c>
      <c r="Q93" s="71" t="e">
        <f t="shared" ref="Q93:Q98" si="77">P93*O93*1000000</f>
        <v>#REF!</v>
      </c>
    </row>
    <row r="94" spans="2:17" x14ac:dyDescent="0.35">
      <c r="B94"/>
      <c r="C94" s="64" t="s">
        <v>58</v>
      </c>
      <c r="D94" s="53">
        <f t="shared" si="68"/>
        <v>198746.32193181824</v>
      </c>
      <c r="E94" s="157">
        <f t="shared" si="69"/>
        <v>0.73600000000000021</v>
      </c>
      <c r="F94" s="57">
        <f t="shared" si="70"/>
        <v>5.2080000000000008E-3</v>
      </c>
      <c r="G94" s="83">
        <f t="shared" si="73"/>
        <v>1035.0708446209096</v>
      </c>
      <c r="H94" s="58">
        <v>0.02</v>
      </c>
      <c r="I94" s="71">
        <f t="shared" si="74"/>
        <v>20701416.892418191</v>
      </c>
      <c r="K94" s="64" t="s">
        <v>58</v>
      </c>
      <c r="L94" s="53">
        <f t="shared" si="71"/>
        <v>208683.63802840916</v>
      </c>
      <c r="M94" s="157">
        <f t="shared" si="75"/>
        <v>1.0999999999999999</v>
      </c>
      <c r="N94" s="57">
        <f t="shared" si="72"/>
        <v>1.0416000000000002E-2</v>
      </c>
      <c r="O94" s="83">
        <f t="shared" si="76"/>
        <v>2173.6487737039101</v>
      </c>
      <c r="P94" s="60">
        <f>P92</f>
        <v>0.02</v>
      </c>
      <c r="Q94" s="71">
        <f t="shared" si="77"/>
        <v>43472975.474078201</v>
      </c>
    </row>
    <row r="95" spans="2:17" x14ac:dyDescent="0.35">
      <c r="B95"/>
      <c r="C95" s="64" t="s">
        <v>62</v>
      </c>
      <c r="D95" s="53">
        <f t="shared" si="68"/>
        <v>6272.8804687500005</v>
      </c>
      <c r="E95" s="157">
        <f t="shared" si="69"/>
        <v>0.73600000000000054</v>
      </c>
      <c r="F95" s="57">
        <f t="shared" si="70"/>
        <v>5.2080000000000008E-3</v>
      </c>
      <c r="G95" s="83">
        <f t="shared" si="73"/>
        <v>32.669161481250008</v>
      </c>
      <c r="H95" s="58">
        <v>0.02</v>
      </c>
      <c r="I95" s="71">
        <f t="shared" si="74"/>
        <v>653383.22962500015</v>
      </c>
      <c r="K95" s="64" t="s">
        <v>62</v>
      </c>
      <c r="L95" s="53">
        <f t="shared" si="71"/>
        <v>6586.524492187501</v>
      </c>
      <c r="M95" s="157">
        <f t="shared" si="75"/>
        <v>1.1000000000000001</v>
      </c>
      <c r="N95" s="57">
        <f t="shared" si="72"/>
        <v>1.0416000000000002E-2</v>
      </c>
      <c r="O95" s="83">
        <f t="shared" si="76"/>
        <v>68.605239110625021</v>
      </c>
      <c r="P95" s="60">
        <f t="shared" ref="P95:P98" si="78">P94</f>
        <v>0.02</v>
      </c>
      <c r="Q95" s="71">
        <f t="shared" si="77"/>
        <v>1372104.7822125005</v>
      </c>
    </row>
    <row r="96" spans="2:17" x14ac:dyDescent="0.35">
      <c r="B96"/>
      <c r="C96" s="64" t="s">
        <v>204</v>
      </c>
      <c r="D96" s="53">
        <f t="shared" si="68"/>
        <v>54035.330343750007</v>
      </c>
      <c r="E96" s="157">
        <f t="shared" si="69"/>
        <v>0.62399999999999989</v>
      </c>
      <c r="F96" s="57">
        <f t="shared" si="70"/>
        <v>4.5240000000000002E-3</v>
      </c>
      <c r="G96" s="83">
        <f t="shared" si="73"/>
        <v>244.45583447512504</v>
      </c>
      <c r="H96" s="58">
        <v>0.02</v>
      </c>
      <c r="I96" s="71">
        <f t="shared" si="74"/>
        <v>4889116.6895025009</v>
      </c>
      <c r="K96" s="64" t="s">
        <v>204</v>
      </c>
      <c r="L96" s="53">
        <f t="shared" si="71"/>
        <v>56737.096860937512</v>
      </c>
      <c r="M96" s="157">
        <f t="shared" si="75"/>
        <v>0.83750000000000013</v>
      </c>
      <c r="N96" s="57">
        <f t="shared" si="72"/>
        <v>7.9170000000000004E-3</v>
      </c>
      <c r="O96" s="83">
        <f t="shared" si="76"/>
        <v>449.18759584804229</v>
      </c>
      <c r="P96" s="60">
        <f t="shared" si="78"/>
        <v>0.02</v>
      </c>
      <c r="Q96" s="71">
        <f t="shared" si="77"/>
        <v>8983751.9169608466</v>
      </c>
    </row>
    <row r="97" spans="2:17" x14ac:dyDescent="0.35">
      <c r="B97"/>
      <c r="C97" s="64" t="s">
        <v>207</v>
      </c>
      <c r="D97" s="53">
        <f t="shared" si="68"/>
        <v>2479.6327499999998</v>
      </c>
      <c r="E97" s="157">
        <f t="shared" si="69"/>
        <v>0.73599999999999988</v>
      </c>
      <c r="F97" s="57">
        <f t="shared" si="70"/>
        <v>4.8360000000000009E-3</v>
      </c>
      <c r="G97" s="83">
        <f t="shared" si="73"/>
        <v>11.991503979000001</v>
      </c>
      <c r="H97" s="58">
        <v>0.02</v>
      </c>
      <c r="I97" s="71">
        <f t="shared" si="74"/>
        <v>239830.07958000002</v>
      </c>
      <c r="K97" s="64" t="s">
        <v>207</v>
      </c>
      <c r="L97" s="53">
        <f t="shared" si="71"/>
        <v>2603.6143874999998</v>
      </c>
      <c r="M97" s="157">
        <f t="shared" si="75"/>
        <v>1.1000000000000001</v>
      </c>
      <c r="N97" s="57">
        <f t="shared" si="72"/>
        <v>9.6720000000000018E-3</v>
      </c>
      <c r="O97" s="83">
        <f t="shared" si="76"/>
        <v>25.182158355900004</v>
      </c>
      <c r="P97" s="60">
        <f t="shared" si="78"/>
        <v>0.02</v>
      </c>
      <c r="Q97" s="71">
        <f t="shared" si="77"/>
        <v>503643.16711800004</v>
      </c>
    </row>
    <row r="98" spans="2:17" x14ac:dyDescent="0.35">
      <c r="B98"/>
      <c r="C98" s="64" t="s">
        <v>215</v>
      </c>
      <c r="D98" s="53">
        <f t="shared" si="68"/>
        <v>195159.49558875008</v>
      </c>
      <c r="E98" s="157">
        <f t="shared" si="69"/>
        <v>0.13750000000000004</v>
      </c>
      <c r="F98" s="57">
        <f t="shared" si="70"/>
        <v>2.9250000000000001E-4</v>
      </c>
      <c r="G98" s="83">
        <f t="shared" si="73"/>
        <v>57.084152459709401</v>
      </c>
      <c r="H98" s="58">
        <v>0.02</v>
      </c>
      <c r="I98" s="71">
        <f t="shared" si="74"/>
        <v>1141683.0491941881</v>
      </c>
      <c r="K98" s="64" t="s">
        <v>215</v>
      </c>
      <c r="L98" s="53">
        <f t="shared" si="71"/>
        <v>204917.47036818758</v>
      </c>
      <c r="M98" s="157">
        <f t="shared" si="75"/>
        <v>0.57499999999999984</v>
      </c>
      <c r="N98" s="57">
        <f t="shared" si="72"/>
        <v>4.3875000000000001E-4</v>
      </c>
      <c r="O98" s="83">
        <f t="shared" si="76"/>
        <v>89.907540124042299</v>
      </c>
      <c r="P98" s="60">
        <f t="shared" si="78"/>
        <v>0.02</v>
      </c>
      <c r="Q98" s="71">
        <f t="shared" si="77"/>
        <v>1798150.8024808459</v>
      </c>
    </row>
    <row r="99" spans="2:17" ht="15" thickBot="1" x14ac:dyDescent="0.4">
      <c r="B99"/>
      <c r="C99" s="65" t="s">
        <v>116</v>
      </c>
      <c r="D99" s="66"/>
      <c r="E99" s="88"/>
      <c r="F99" s="67"/>
      <c r="G99" s="90"/>
      <c r="H99" s="28"/>
      <c r="I99" s="70" t="e">
        <f>SUM(I91:I97)</f>
        <v>#REF!</v>
      </c>
      <c r="K99" s="65" t="s">
        <v>116</v>
      </c>
      <c r="L99" s="66"/>
      <c r="M99" s="88"/>
      <c r="N99" s="67"/>
      <c r="O99" s="90"/>
      <c r="P99" s="28"/>
      <c r="Q99" s="70" t="e">
        <f>SUM(Q91:Q97)</f>
        <v>#REF!</v>
      </c>
    </row>
    <row r="100" spans="2:17" ht="15" thickBot="1" x14ac:dyDescent="0.4">
      <c r="B100"/>
      <c r="C100" s="29"/>
      <c r="D100" s="38"/>
      <c r="E100" s="30"/>
      <c r="F100" s="50"/>
      <c r="G100" s="82"/>
      <c r="I100"/>
      <c r="K100"/>
      <c r="M100" s="30"/>
      <c r="O100" s="82"/>
      <c r="Q100"/>
    </row>
    <row r="101" spans="2:17" x14ac:dyDescent="0.35">
      <c r="B101"/>
      <c r="C101" s="376" t="s">
        <v>165</v>
      </c>
      <c r="D101" s="377"/>
      <c r="E101" s="377"/>
      <c r="F101" s="377"/>
      <c r="G101" s="377"/>
      <c r="H101" s="377"/>
      <c r="I101" s="378"/>
      <c r="K101"/>
      <c r="M101" s="30"/>
      <c r="O101" s="82"/>
      <c r="Q101"/>
    </row>
    <row r="102" spans="2:17" x14ac:dyDescent="0.35">
      <c r="B102" s="31"/>
      <c r="C102" s="62"/>
      <c r="D102" s="45" t="s">
        <v>82</v>
      </c>
      <c r="E102" s="32" t="s">
        <v>226</v>
      </c>
      <c r="F102" s="49" t="s">
        <v>145</v>
      </c>
      <c r="G102" s="159" t="s">
        <v>83</v>
      </c>
      <c r="H102" s="32" t="s">
        <v>143</v>
      </c>
      <c r="I102" s="68" t="s">
        <v>110</v>
      </c>
      <c r="J102" s="31"/>
      <c r="K102" s="31"/>
      <c r="L102" s="31"/>
      <c r="M102" s="158"/>
      <c r="N102" s="31"/>
      <c r="O102" s="160"/>
      <c r="P102" s="31"/>
      <c r="Q102" s="31"/>
    </row>
    <row r="103" spans="2:17" x14ac:dyDescent="0.35">
      <c r="B103" s="31"/>
      <c r="C103" s="63" t="s">
        <v>273</v>
      </c>
      <c r="D103" s="53">
        <f t="shared" ref="D103:D110" si="79">D53</f>
        <v>11906.661481000006</v>
      </c>
      <c r="E103" s="157">
        <f t="shared" ref="E103:E110" si="80">(G103-O91)/O91</f>
        <v>1.2000000000000002</v>
      </c>
      <c r="F103" s="57">
        <f t="shared" ref="F103:F110" si="81">F53*1.5</f>
        <v>0.21600000000000003</v>
      </c>
      <c r="G103" s="83">
        <f>F103*D103</f>
        <v>2571.8388798960018</v>
      </c>
      <c r="H103" s="58">
        <v>0.02</v>
      </c>
      <c r="I103" s="71">
        <f>H103*G103*1000000</f>
        <v>51436777.597920038</v>
      </c>
      <c r="J103" s="31"/>
      <c r="K103" s="31"/>
      <c r="L103" s="31"/>
      <c r="M103" s="32"/>
      <c r="N103" s="31"/>
      <c r="O103" s="159"/>
      <c r="P103" s="31"/>
      <c r="Q103" s="31"/>
    </row>
    <row r="104" spans="2:17" x14ac:dyDescent="0.35">
      <c r="B104"/>
      <c r="C104" s="64" t="s">
        <v>35</v>
      </c>
      <c r="D104" s="53">
        <f t="shared" si="79"/>
        <v>344491.84908156411</v>
      </c>
      <c r="E104" s="157">
        <f t="shared" si="80"/>
        <v>0.51200000000000001</v>
      </c>
      <c r="F104" s="57">
        <f t="shared" si="81"/>
        <v>3.8102399999999999E-4</v>
      </c>
      <c r="G104" s="83">
        <f>F104*D104</f>
        <v>131.25966230445388</v>
      </c>
      <c r="H104" s="60">
        <f>H105</f>
        <v>0.02</v>
      </c>
      <c r="I104" s="71">
        <f>H104*G104*1000000</f>
        <v>2625193.246089078</v>
      </c>
      <c r="K104"/>
      <c r="M104" s="30"/>
      <c r="O104" s="82"/>
      <c r="Q104"/>
    </row>
    <row r="105" spans="2:17" x14ac:dyDescent="0.35">
      <c r="B105"/>
      <c r="C105" s="63" t="s">
        <v>274</v>
      </c>
      <c r="D105" s="53" t="e">
        <f t="shared" si="79"/>
        <v>#REF!</v>
      </c>
      <c r="E105" s="157" t="e">
        <f t="shared" si="80"/>
        <v>#REF!</v>
      </c>
      <c r="F105" s="57">
        <f t="shared" si="81"/>
        <v>0.12096000000000003</v>
      </c>
      <c r="G105" s="83" t="e">
        <f t="shared" ref="G105:G110" si="82">F105*D105</f>
        <v>#REF!</v>
      </c>
      <c r="H105" s="60">
        <f>H103</f>
        <v>0.02</v>
      </c>
      <c r="I105" s="71" t="e">
        <f t="shared" ref="I105:I110" si="83">H105*G105*1000000</f>
        <v>#REF!</v>
      </c>
      <c r="K105"/>
      <c r="M105" s="30"/>
      <c r="O105" s="82"/>
      <c r="Q105"/>
    </row>
    <row r="106" spans="2:17" x14ac:dyDescent="0.35">
      <c r="B106"/>
      <c r="C106" s="64" t="s">
        <v>58</v>
      </c>
      <c r="D106" s="53">
        <f t="shared" si="79"/>
        <v>219117.81992982962</v>
      </c>
      <c r="E106" s="157">
        <f t="shared" si="80"/>
        <v>0.46999999999999981</v>
      </c>
      <c r="F106" s="57">
        <f t="shared" si="81"/>
        <v>1.4582400000000001E-2</v>
      </c>
      <c r="G106" s="83">
        <f t="shared" si="82"/>
        <v>3195.2636973447475</v>
      </c>
      <c r="H106" s="60">
        <f>H104</f>
        <v>0.02</v>
      </c>
      <c r="I106" s="71">
        <f t="shared" si="83"/>
        <v>63905273.946894951</v>
      </c>
      <c r="K106"/>
      <c r="M106" s="30"/>
      <c r="O106" s="82"/>
      <c r="Q106"/>
    </row>
    <row r="107" spans="2:17" x14ac:dyDescent="0.35">
      <c r="B107"/>
      <c r="C107" s="64" t="s">
        <v>62</v>
      </c>
      <c r="D107" s="53">
        <f t="shared" si="79"/>
        <v>6915.8507167968764</v>
      </c>
      <c r="E107" s="157">
        <f t="shared" si="80"/>
        <v>0.46999999999999992</v>
      </c>
      <c r="F107" s="57">
        <f t="shared" si="81"/>
        <v>1.4582400000000001E-2</v>
      </c>
      <c r="G107" s="83">
        <f t="shared" si="82"/>
        <v>100.84970149261878</v>
      </c>
      <c r="H107" s="60">
        <f t="shared" ref="H107:H110" si="84">H106</f>
        <v>0.02</v>
      </c>
      <c r="I107" s="71">
        <f t="shared" si="83"/>
        <v>2016994.0298523756</v>
      </c>
      <c r="K107"/>
      <c r="M107" s="30"/>
      <c r="O107" s="82"/>
      <c r="Q107"/>
    </row>
    <row r="108" spans="2:17" x14ac:dyDescent="0.35">
      <c r="B108"/>
      <c r="C108" s="64" t="s">
        <v>204</v>
      </c>
      <c r="D108" s="53">
        <f t="shared" si="79"/>
        <v>59573.951703984392</v>
      </c>
      <c r="E108" s="157">
        <f t="shared" si="80"/>
        <v>0.47000000000000014</v>
      </c>
      <c r="F108" s="57">
        <f t="shared" si="81"/>
        <v>1.1083800000000001E-2</v>
      </c>
      <c r="G108" s="83">
        <f t="shared" si="82"/>
        <v>660.30576589662223</v>
      </c>
      <c r="H108" s="60">
        <f t="shared" si="84"/>
        <v>0.02</v>
      </c>
      <c r="I108" s="71">
        <f t="shared" si="83"/>
        <v>13206115.317932446</v>
      </c>
      <c r="K108"/>
      <c r="M108" s="30"/>
      <c r="O108" s="82"/>
      <c r="Q108"/>
    </row>
    <row r="109" spans="2:17" x14ac:dyDescent="0.35">
      <c r="B109"/>
      <c r="C109" s="64" t="s">
        <v>207</v>
      </c>
      <c r="D109" s="53">
        <f t="shared" si="79"/>
        <v>2733.7951068749999</v>
      </c>
      <c r="E109" s="157">
        <f t="shared" si="80"/>
        <v>0.46999999999999981</v>
      </c>
      <c r="F109" s="57">
        <f t="shared" si="81"/>
        <v>1.3540800000000002E-2</v>
      </c>
      <c r="G109" s="83">
        <f t="shared" si="82"/>
        <v>37.017772783173001</v>
      </c>
      <c r="H109" s="60">
        <f t="shared" si="84"/>
        <v>0.02</v>
      </c>
      <c r="I109" s="71">
        <f t="shared" si="83"/>
        <v>740355.45566346007</v>
      </c>
      <c r="K109"/>
      <c r="M109" s="30"/>
      <c r="O109" s="82"/>
      <c r="Q109"/>
    </row>
    <row r="110" spans="2:17" x14ac:dyDescent="0.35">
      <c r="B110"/>
      <c r="C110" s="64" t="s">
        <v>215</v>
      </c>
      <c r="D110" s="53">
        <f t="shared" si="79"/>
        <v>215163.34388659697</v>
      </c>
      <c r="E110" s="157">
        <f t="shared" si="80"/>
        <v>0.47000000000000014</v>
      </c>
      <c r="F110" s="57">
        <f t="shared" si="81"/>
        <v>6.1425E-4</v>
      </c>
      <c r="G110" s="83">
        <f t="shared" si="82"/>
        <v>132.16408398234219</v>
      </c>
      <c r="H110" s="60">
        <f t="shared" si="84"/>
        <v>0.02</v>
      </c>
      <c r="I110" s="71">
        <f t="shared" si="83"/>
        <v>2643281.6796468436</v>
      </c>
      <c r="K110"/>
      <c r="M110" s="30"/>
      <c r="O110" s="82"/>
      <c r="Q110"/>
    </row>
    <row r="111" spans="2:17" ht="15" thickBot="1" x14ac:dyDescent="0.4">
      <c r="B111"/>
      <c r="C111" s="65" t="s">
        <v>116</v>
      </c>
      <c r="D111" s="90" t="e">
        <f>SUM(D103:D110)</f>
        <v>#REF!</v>
      </c>
      <c r="E111" s="88"/>
      <c r="F111" s="67"/>
      <c r="G111" s="90"/>
      <c r="H111" s="28"/>
      <c r="I111" s="70" t="e">
        <f>SUM(I103:I109)</f>
        <v>#REF!</v>
      </c>
      <c r="K111"/>
      <c r="M111" s="30"/>
      <c r="O111" s="82"/>
      <c r="Q111"/>
    </row>
    <row r="112" spans="2:17" x14ac:dyDescent="0.35">
      <c r="B112"/>
      <c r="C112"/>
      <c r="D112"/>
      <c r="E112" s="30"/>
      <c r="G112" s="82"/>
      <c r="I112"/>
      <c r="K112"/>
      <c r="M112" s="30"/>
      <c r="O112" s="82"/>
      <c r="Q112"/>
    </row>
    <row r="113" spans="2:17" hidden="1" x14ac:dyDescent="0.35">
      <c r="B113"/>
      <c r="C113"/>
      <c r="D113"/>
      <c r="E113" s="30"/>
      <c r="G113" s="82"/>
      <c r="I113"/>
      <c r="K113"/>
      <c r="M113" s="30"/>
      <c r="O113" s="82"/>
      <c r="Q113"/>
    </row>
    <row r="114" spans="2:17" hidden="1" x14ac:dyDescent="0.35">
      <c r="B114"/>
      <c r="C114"/>
      <c r="D114"/>
      <c r="E114" s="30"/>
      <c r="G114" s="82"/>
      <c r="I114"/>
      <c r="K114"/>
      <c r="M114" s="30"/>
      <c r="O114" s="82"/>
      <c r="Q114"/>
    </row>
    <row r="115" spans="2:17" hidden="1" x14ac:dyDescent="0.35">
      <c r="B115"/>
      <c r="C115"/>
      <c r="D115"/>
      <c r="E115" s="30"/>
      <c r="G115" s="82"/>
      <c r="I115"/>
      <c r="K115"/>
      <c r="M115" s="30"/>
      <c r="O115" s="82"/>
      <c r="Q115"/>
    </row>
    <row r="116" spans="2:17" x14ac:dyDescent="0.35"/>
    <row r="117" spans="2:17" x14ac:dyDescent="0.35"/>
    <row r="118" spans="2:17" x14ac:dyDescent="0.35"/>
    <row r="119" spans="2:17" x14ac:dyDescent="0.35"/>
    <row r="120" spans="2:17" x14ac:dyDescent="0.35"/>
    <row r="121" spans="2:17" x14ac:dyDescent="0.35"/>
    <row r="122" spans="2:17" x14ac:dyDescent="0.35"/>
    <row r="123" spans="2:17" x14ac:dyDescent="0.35"/>
  </sheetData>
  <mergeCells count="22">
    <mergeCell ref="C89:I89"/>
    <mergeCell ref="C101:I101"/>
    <mergeCell ref="K89:Q89"/>
    <mergeCell ref="S11:T11"/>
    <mergeCell ref="S12:Y12"/>
    <mergeCell ref="S51:Y51"/>
    <mergeCell ref="C51:I51"/>
    <mergeCell ref="C65:I65"/>
    <mergeCell ref="K65:Q65"/>
    <mergeCell ref="K77:Q77"/>
    <mergeCell ref="C77:I77"/>
    <mergeCell ref="K38:Q38"/>
    <mergeCell ref="C38:I38"/>
    <mergeCell ref="K25:Q25"/>
    <mergeCell ref="C25:I25"/>
    <mergeCell ref="C12:I12"/>
    <mergeCell ref="K12:Q12"/>
    <mergeCell ref="AA12:AG12"/>
    <mergeCell ref="S25:Y25"/>
    <mergeCell ref="AA25:AG25"/>
    <mergeCell ref="S38:Y38"/>
    <mergeCell ref="AA38:AG38"/>
  </mergeCells>
  <phoneticPr fontId="11" type="noConversion"/>
  <conditionalFormatting sqref="AA22:AA23">
    <cfRule type="duplicateValues" dxfId="0" priority="1"/>
  </conditionalFormatting>
  <pageMargins left="0.7" right="0.7" top="0.75" bottom="0.75" header="0.3" footer="0.3"/>
  <pageSetup orientation="portrait" horizontalDpi="1200" verticalDpi="1200" r:id="rId1"/>
  <rowBreaks count="1" manualBreakCount="1">
    <brk id="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494DD-BB9B-42F0-9286-71B204EB1B52}">
  <dimension ref="A1:S46"/>
  <sheetViews>
    <sheetView topLeftCell="C4" workbookViewId="0">
      <selection activeCell="D4" sqref="D4"/>
    </sheetView>
  </sheetViews>
  <sheetFormatPr defaultRowHeight="14.5" x14ac:dyDescent="0.35"/>
  <cols>
    <col min="1" max="1" width="11.26953125" customWidth="1"/>
    <col min="2" max="2" width="9.08984375" customWidth="1"/>
    <col min="3" max="3" width="14.54296875" customWidth="1"/>
    <col min="4" max="4" width="15.90625" customWidth="1"/>
    <col min="5" max="5" width="16.90625" customWidth="1"/>
    <col min="6" max="7" width="15.6328125" bestFit="1" customWidth="1"/>
    <col min="8" max="8" width="15.453125" customWidth="1"/>
    <col min="9" max="9" width="17.453125" customWidth="1"/>
    <col min="10" max="10" width="2.90625" customWidth="1"/>
    <col min="11" max="11" width="17.6328125" customWidth="1"/>
    <col min="12" max="12" width="18.453125" bestFit="1" customWidth="1"/>
    <col min="13" max="13" width="14.81640625" customWidth="1"/>
    <col min="14" max="14" width="22.7265625" customWidth="1"/>
    <col min="15" max="15" width="11.36328125" bestFit="1" customWidth="1"/>
    <col min="17" max="17" width="15.08984375" customWidth="1"/>
    <col min="18" max="18" width="6.81640625" bestFit="1" customWidth="1"/>
    <col min="19" max="19" width="4.36328125" bestFit="1" customWidth="1"/>
  </cols>
  <sheetData>
    <row r="1" spans="1:15" x14ac:dyDescent="0.35">
      <c r="A1" t="s">
        <v>355</v>
      </c>
      <c r="K1" t="s">
        <v>296</v>
      </c>
      <c r="L1">
        <v>0.27</v>
      </c>
    </row>
    <row r="2" spans="1:15" x14ac:dyDescent="0.35">
      <c r="A2" t="s">
        <v>356</v>
      </c>
      <c r="D2" s="252">
        <f>L7</f>
        <v>194400</v>
      </c>
    </row>
    <row r="3" spans="1:15" x14ac:dyDescent="0.35">
      <c r="A3" t="s">
        <v>357</v>
      </c>
      <c r="D3" s="252">
        <f>6000*12</f>
        <v>72000</v>
      </c>
    </row>
    <row r="4" spans="1:15" x14ac:dyDescent="0.35">
      <c r="A4" t="s">
        <v>358</v>
      </c>
      <c r="D4" s="252">
        <f>D3+D2</f>
        <v>266400</v>
      </c>
    </row>
    <row r="5" spans="1:15" ht="5.5" customHeight="1" thickBot="1" x14ac:dyDescent="0.4"/>
    <row r="6" spans="1:15" ht="18.5" x14ac:dyDescent="0.45">
      <c r="A6" s="320" t="s">
        <v>435</v>
      </c>
      <c r="B6" s="321"/>
      <c r="C6" s="321"/>
      <c r="D6" s="249" t="s">
        <v>297</v>
      </c>
      <c r="E6" s="249" t="s">
        <v>298</v>
      </c>
      <c r="F6" s="249" t="s">
        <v>299</v>
      </c>
      <c r="G6" s="187" t="s">
        <v>245</v>
      </c>
      <c r="H6" s="188" t="s">
        <v>300</v>
      </c>
      <c r="K6" s="360" t="s">
        <v>462</v>
      </c>
      <c r="L6" s="362"/>
    </row>
    <row r="7" spans="1:15" ht="15" thickBot="1" x14ac:dyDescent="0.4">
      <c r="A7" s="9"/>
      <c r="D7" s="313">
        <v>0.15</v>
      </c>
      <c r="E7" s="313">
        <v>0.25</v>
      </c>
      <c r="F7" s="313">
        <v>0.6</v>
      </c>
      <c r="G7" s="252">
        <f>L7</f>
        <v>194400</v>
      </c>
      <c r="H7" s="12"/>
      <c r="K7" s="322">
        <f>60000*12</f>
        <v>720000</v>
      </c>
      <c r="L7" s="323">
        <f>K7*L1</f>
        <v>194400</v>
      </c>
    </row>
    <row r="8" spans="1:15" x14ac:dyDescent="0.35">
      <c r="A8" s="9"/>
      <c r="D8" s="314">
        <f>G7*D7</f>
        <v>29160</v>
      </c>
      <c r="E8" s="314">
        <f>G7*E7</f>
        <v>48600</v>
      </c>
      <c r="F8" s="314">
        <f>G7*F7</f>
        <v>116640</v>
      </c>
      <c r="H8" s="12"/>
    </row>
    <row r="9" spans="1:15" x14ac:dyDescent="0.35">
      <c r="A9" s="315" t="s">
        <v>301</v>
      </c>
      <c r="B9" t="s">
        <v>302</v>
      </c>
      <c r="D9" s="252">
        <v>6.7</v>
      </c>
      <c r="E9" s="252">
        <v>6.46</v>
      </c>
      <c r="F9" s="252">
        <v>38.4</v>
      </c>
      <c r="H9" s="12">
        <f>G7/D11</f>
        <v>151875</v>
      </c>
      <c r="L9" s="385"/>
      <c r="M9" s="385"/>
    </row>
    <row r="10" spans="1:15" x14ac:dyDescent="0.35">
      <c r="A10" s="315"/>
      <c r="B10" t="s">
        <v>303</v>
      </c>
      <c r="D10" s="82">
        <v>397015</v>
      </c>
      <c r="E10" s="82">
        <v>412531</v>
      </c>
      <c r="F10" s="82"/>
      <c r="H10" s="12"/>
      <c r="L10" s="276"/>
      <c r="M10" s="252"/>
    </row>
    <row r="11" spans="1:15" x14ac:dyDescent="0.35">
      <c r="A11" s="315" t="s">
        <v>304</v>
      </c>
      <c r="D11" s="252">
        <v>1.28</v>
      </c>
      <c r="E11" s="252">
        <v>0.38</v>
      </c>
      <c r="F11" s="252">
        <v>4</v>
      </c>
      <c r="H11" s="12"/>
      <c r="K11" s="31" t="s">
        <v>293</v>
      </c>
    </row>
    <row r="12" spans="1:15" x14ac:dyDescent="0.35">
      <c r="A12" s="9" t="s">
        <v>305</v>
      </c>
      <c r="D12" s="316">
        <f>ROUNDDOWN(D8/D11,0)</f>
        <v>22781</v>
      </c>
      <c r="E12" s="316">
        <f>ROUNDDOWN(E8/E11,0)</f>
        <v>127894</v>
      </c>
      <c r="F12" s="316">
        <f>ROUNDDOWN(F8/F11,0)</f>
        <v>29160</v>
      </c>
      <c r="H12" s="12"/>
      <c r="L12" t="s">
        <v>306</v>
      </c>
      <c r="M12" t="s">
        <v>307</v>
      </c>
    </row>
    <row r="13" spans="1:15" x14ac:dyDescent="0.35">
      <c r="A13" s="315" t="s">
        <v>308</v>
      </c>
      <c r="D13" s="30">
        <v>0.01</v>
      </c>
      <c r="E13" s="291">
        <v>1.4999999999999999E-2</v>
      </c>
      <c r="F13" s="30">
        <v>0.02</v>
      </c>
      <c r="H13" s="12"/>
      <c r="K13" t="s">
        <v>309</v>
      </c>
      <c r="L13">
        <v>499</v>
      </c>
      <c r="M13">
        <f>L13*0.85*12</f>
        <v>5089.7999999999993</v>
      </c>
    </row>
    <row r="14" spans="1:15" x14ac:dyDescent="0.35">
      <c r="A14" s="317" t="s">
        <v>390</v>
      </c>
      <c r="B14" s="318"/>
      <c r="D14" s="316">
        <f>(D12*D13)+(E13*E12)+(F13*F12)</f>
        <v>2729.42</v>
      </c>
      <c r="E14" s="316">
        <f t="shared" ref="E14:F14" si="0">(E12*E13)+(F13*F12)+(G13*G12)</f>
        <v>2501.6099999999997</v>
      </c>
      <c r="F14" s="316">
        <f t="shared" si="0"/>
        <v>583.20000000000005</v>
      </c>
      <c r="H14" s="12"/>
      <c r="K14" t="s">
        <v>311</v>
      </c>
      <c r="L14">
        <v>149</v>
      </c>
      <c r="M14">
        <f>L14*0.9*12</f>
        <v>1609.1999999999998</v>
      </c>
    </row>
    <row r="15" spans="1:15" ht="29.5" thickBot="1" x14ac:dyDescent="0.4">
      <c r="A15" s="86" t="s">
        <v>310</v>
      </c>
      <c r="B15" s="28"/>
      <c r="C15" s="28"/>
      <c r="D15" s="319">
        <f>SUM(D14:F14)</f>
        <v>5814.23</v>
      </c>
      <c r="E15" s="28"/>
      <c r="F15" s="28"/>
      <c r="G15" s="28"/>
      <c r="H15" s="91"/>
      <c r="K15" s="287" t="s">
        <v>316</v>
      </c>
      <c r="L15" s="278" t="s">
        <v>317</v>
      </c>
      <c r="M15" s="278" t="s">
        <v>318</v>
      </c>
      <c r="N15" s="278" t="s">
        <v>319</v>
      </c>
      <c r="O15" s="278" t="s">
        <v>320</v>
      </c>
    </row>
    <row r="16" spans="1:15" x14ac:dyDescent="0.35">
      <c r="A16" s="386" t="s">
        <v>312</v>
      </c>
      <c r="B16" s="386"/>
      <c r="C16" s="386"/>
      <c r="D16" s="386"/>
      <c r="E16" s="31"/>
      <c r="F16" s="31" t="s">
        <v>313</v>
      </c>
      <c r="G16" s="230" t="s">
        <v>216</v>
      </c>
      <c r="K16" s="280" t="s">
        <v>322</v>
      </c>
      <c r="L16" s="280" t="s">
        <v>323</v>
      </c>
      <c r="M16" s="280" t="s">
        <v>324</v>
      </c>
      <c r="N16" s="280" t="s">
        <v>325</v>
      </c>
      <c r="O16" s="281">
        <f>(7500+300)/2</f>
        <v>3900</v>
      </c>
    </row>
    <row r="17" spans="1:19" x14ac:dyDescent="0.35">
      <c r="A17" s="387" t="s">
        <v>314</v>
      </c>
      <c r="B17" t="s">
        <v>315</v>
      </c>
      <c r="E17" s="253">
        <v>2.5000000000000001E-3</v>
      </c>
      <c r="F17" s="277">
        <f>ROUNDDOWN(E17*$D$15,0)</f>
        <v>14</v>
      </c>
      <c r="G17" s="252">
        <f>F17*M13</f>
        <v>71257.199999999983</v>
      </c>
      <c r="K17" s="280" t="s">
        <v>327</v>
      </c>
      <c r="L17" s="280" t="s">
        <v>328</v>
      </c>
      <c r="M17" s="280" t="s">
        <v>329</v>
      </c>
      <c r="N17" s="280" t="s">
        <v>330</v>
      </c>
      <c r="O17" s="281">
        <f>(5000+1500)/2</f>
        <v>3250</v>
      </c>
      <c r="Q17" s="279" t="s">
        <v>351</v>
      </c>
      <c r="R17" s="280">
        <f>' TAM &amp; SOM'!C19*1000</f>
        <v>258.5</v>
      </c>
      <c r="S17" s="280" t="s">
        <v>6</v>
      </c>
    </row>
    <row r="18" spans="1:19" x14ac:dyDescent="0.35">
      <c r="A18" s="387"/>
      <c r="B18" t="s">
        <v>321</v>
      </c>
      <c r="E18" s="253">
        <v>5.0000000000000001E-3</v>
      </c>
      <c r="F18" s="277">
        <f t="shared" ref="F18:F20" si="1">ROUNDDOWN(E18*$D$15,0)</f>
        <v>29</v>
      </c>
      <c r="G18" s="252">
        <f>F18*M14</f>
        <v>46666.799999999996</v>
      </c>
      <c r="K18" s="280" t="s">
        <v>332</v>
      </c>
      <c r="L18" s="280" t="s">
        <v>333</v>
      </c>
      <c r="M18" s="280" t="s">
        <v>334</v>
      </c>
      <c r="N18" s="280" t="s">
        <v>335</v>
      </c>
      <c r="O18" s="281">
        <f>(3500+100)/2</f>
        <v>1800</v>
      </c>
      <c r="Q18" s="279" t="s">
        <v>352</v>
      </c>
      <c r="R18" s="280">
        <f>R17*0.6</f>
        <v>155.1</v>
      </c>
      <c r="S18" s="280" t="s">
        <v>6</v>
      </c>
    </row>
    <row r="19" spans="1:19" ht="13.5" customHeight="1" x14ac:dyDescent="0.35">
      <c r="A19" s="387"/>
      <c r="B19" t="s">
        <v>326</v>
      </c>
      <c r="E19" s="1">
        <f>1-(E18+E17)</f>
        <v>0.99250000000000005</v>
      </c>
      <c r="F19" s="277">
        <f t="shared" si="1"/>
        <v>5770</v>
      </c>
      <c r="G19">
        <v>0</v>
      </c>
      <c r="K19" s="280" t="s">
        <v>337</v>
      </c>
      <c r="L19" s="280" t="s">
        <v>338</v>
      </c>
      <c r="M19" s="280" t="s">
        <v>339</v>
      </c>
      <c r="N19" s="280" t="s">
        <v>436</v>
      </c>
      <c r="O19" s="281">
        <f>(5000+2000)/2</f>
        <v>3500</v>
      </c>
      <c r="Q19" s="279" t="s">
        <v>353</v>
      </c>
      <c r="R19" s="280">
        <v>3</v>
      </c>
      <c r="S19" s="280" t="s">
        <v>254</v>
      </c>
    </row>
    <row r="20" spans="1:19" x14ac:dyDescent="0.35">
      <c r="A20" t="s">
        <v>331</v>
      </c>
      <c r="D20" s="1"/>
      <c r="E20" s="253">
        <v>2.5000000000000001E-4</v>
      </c>
      <c r="F20" s="277">
        <f t="shared" si="1"/>
        <v>1</v>
      </c>
      <c r="G20" s="252">
        <f>O22*12*F20</f>
        <v>42000</v>
      </c>
      <c r="K20" s="280" t="s">
        <v>341</v>
      </c>
      <c r="L20" s="280" t="s">
        <v>342</v>
      </c>
      <c r="M20" s="280" t="s">
        <v>343</v>
      </c>
      <c r="N20" s="280" t="s">
        <v>344</v>
      </c>
      <c r="O20" s="281">
        <f>(6000+2500)/2</f>
        <v>4250</v>
      </c>
      <c r="Q20" s="279" t="s">
        <v>354</v>
      </c>
      <c r="R20" s="280">
        <f>ROUNDDOWN(R18/R19,0)</f>
        <v>51</v>
      </c>
      <c r="S20" s="280"/>
    </row>
    <row r="21" spans="1:19" x14ac:dyDescent="0.35">
      <c r="A21" t="s">
        <v>463</v>
      </c>
      <c r="D21" s="1"/>
      <c r="E21" s="1">
        <v>0.02</v>
      </c>
      <c r="F21" s="277"/>
      <c r="G21" s="252"/>
      <c r="K21" s="280"/>
      <c r="L21" s="280"/>
      <c r="M21" s="280"/>
      <c r="N21" s="280"/>
      <c r="O21" s="281"/>
      <c r="Q21" s="279"/>
      <c r="R21" s="280"/>
      <c r="S21" s="280"/>
    </row>
    <row r="22" spans="1:19" x14ac:dyDescent="0.35">
      <c r="A22" t="s">
        <v>336</v>
      </c>
      <c r="C22" s="293"/>
      <c r="E22" s="2">
        <f>(L27+L28)</f>
        <v>3.7500000000000006E-2</v>
      </c>
      <c r="F22" s="277">
        <f>D15*E21</f>
        <v>116.2846</v>
      </c>
      <c r="G22" s="252">
        <f>L29*F22</f>
        <v>1417218.5625000002</v>
      </c>
      <c r="K22" s="280" t="s">
        <v>148</v>
      </c>
      <c r="O22" s="252">
        <f>MEDIAN(O16:O20)</f>
        <v>3500</v>
      </c>
    </row>
    <row r="23" spans="1:19" x14ac:dyDescent="0.35">
      <c r="A23" t="s">
        <v>340</v>
      </c>
      <c r="G23" s="252">
        <f>SUM(G17:G22)</f>
        <v>1577142.5625000002</v>
      </c>
      <c r="K23" s="383" t="s">
        <v>405</v>
      </c>
      <c r="L23" s="383"/>
    </row>
    <row r="24" spans="1:19" x14ac:dyDescent="0.35">
      <c r="A24" t="s">
        <v>348</v>
      </c>
      <c r="E24">
        <f>R20</f>
        <v>51</v>
      </c>
      <c r="F24" t="s">
        <v>345</v>
      </c>
      <c r="K24" s="280" t="s">
        <v>440</v>
      </c>
      <c r="L24" s="282">
        <v>500000</v>
      </c>
      <c r="M24" s="280" t="s">
        <v>346</v>
      </c>
    </row>
    <row r="25" spans="1:19" ht="14.5" customHeight="1" x14ac:dyDescent="0.35">
      <c r="E25" s="1"/>
      <c r="K25" s="280" t="s">
        <v>391</v>
      </c>
      <c r="L25">
        <f>Financials!T10</f>
        <v>0.65</v>
      </c>
      <c r="M25" t="s">
        <v>347</v>
      </c>
    </row>
    <row r="26" spans="1:19" x14ac:dyDescent="0.35">
      <c r="K26" s="280" t="s">
        <v>280</v>
      </c>
      <c r="L26" s="252">
        <f>L25*L24</f>
        <v>325000</v>
      </c>
    </row>
    <row r="27" spans="1:19" ht="18" customHeight="1" x14ac:dyDescent="0.35">
      <c r="K27" s="280" t="s">
        <v>349</v>
      </c>
      <c r="L27" s="2">
        <v>0.02</v>
      </c>
    </row>
    <row r="28" spans="1:19" x14ac:dyDescent="0.35">
      <c r="A28" s="31" t="s">
        <v>408</v>
      </c>
      <c r="K28" s="280" t="s">
        <v>336</v>
      </c>
      <c r="L28" s="253">
        <v>1.7500000000000002E-2</v>
      </c>
    </row>
    <row r="29" spans="1:19" x14ac:dyDescent="0.35">
      <c r="A29" s="31" t="s">
        <v>152</v>
      </c>
      <c r="B29" s="31"/>
      <c r="C29" s="31">
        <v>0</v>
      </c>
      <c r="D29" s="31">
        <f>C29+1</f>
        <v>1</v>
      </c>
      <c r="E29" s="31">
        <f t="shared" ref="E29:I29" si="2">D29+1</f>
        <v>2</v>
      </c>
      <c r="F29" s="31">
        <f t="shared" si="2"/>
        <v>3</v>
      </c>
      <c r="G29" s="31">
        <f t="shared" si="2"/>
        <v>4</v>
      </c>
      <c r="H29" s="31">
        <f t="shared" si="2"/>
        <v>5</v>
      </c>
      <c r="I29" s="31">
        <f t="shared" si="2"/>
        <v>6</v>
      </c>
      <c r="K29" s="280" t="s">
        <v>350</v>
      </c>
      <c r="L29" s="252">
        <f>(L28+L27)*L26</f>
        <v>12187.500000000002</v>
      </c>
    </row>
    <row r="30" spans="1:19" x14ac:dyDescent="0.35">
      <c r="A30" t="s">
        <v>294</v>
      </c>
      <c r="B30" t="s">
        <v>478</v>
      </c>
      <c r="C30" s="1">
        <v>0</v>
      </c>
      <c r="D30" s="1">
        <v>1.2</v>
      </c>
      <c r="E30" s="1">
        <v>3</v>
      </c>
      <c r="F30" s="1">
        <v>3</v>
      </c>
      <c r="G30" s="1">
        <v>1.5</v>
      </c>
      <c r="H30" s="1">
        <v>2</v>
      </c>
      <c r="I30" s="1">
        <v>1.5</v>
      </c>
      <c r="K30" s="388" t="s">
        <v>437</v>
      </c>
      <c r="L30" s="388"/>
    </row>
    <row r="31" spans="1:19" x14ac:dyDescent="0.35">
      <c r="B31" t="s">
        <v>479</v>
      </c>
      <c r="C31" s="95"/>
      <c r="D31" s="346">
        <f>ROUNDDOWN((F17*D30)+(F18*D30),0)</f>
        <v>51</v>
      </c>
      <c r="E31" s="346">
        <f>ROUNDDOWN(D31*E30,0)</f>
        <v>153</v>
      </c>
      <c r="F31" s="346">
        <f t="shared" ref="F31:I31" si="3">ROUNDDOWN(E31*F30,0)</f>
        <v>459</v>
      </c>
      <c r="G31" s="346">
        <f t="shared" si="3"/>
        <v>688</v>
      </c>
      <c r="H31" s="346">
        <f t="shared" si="3"/>
        <v>1376</v>
      </c>
      <c r="I31" s="346">
        <f t="shared" si="3"/>
        <v>2064</v>
      </c>
      <c r="K31" s="278"/>
      <c r="L31" s="278"/>
    </row>
    <row r="32" spans="1:19" x14ac:dyDescent="0.35">
      <c r="A32" t="s">
        <v>331</v>
      </c>
      <c r="B32" t="s">
        <v>478</v>
      </c>
      <c r="C32" s="1">
        <v>0</v>
      </c>
      <c r="D32" s="1">
        <v>1.2</v>
      </c>
      <c r="E32" s="1">
        <v>2</v>
      </c>
      <c r="F32" s="1">
        <v>1.2</v>
      </c>
      <c r="G32" s="1">
        <v>1.5</v>
      </c>
      <c r="H32" s="1">
        <v>1.3</v>
      </c>
      <c r="I32" s="1">
        <v>1.3</v>
      </c>
      <c r="K32" s="280" t="s">
        <v>438</v>
      </c>
      <c r="L32" s="252">
        <f>' TAM &amp; SOM'!F19*1000000</f>
        <v>168025000</v>
      </c>
    </row>
    <row r="33" spans="1:13" x14ac:dyDescent="0.35">
      <c r="B33" t="s">
        <v>479</v>
      </c>
      <c r="K33" s="280"/>
      <c r="L33" s="1"/>
    </row>
    <row r="34" spans="1:13" ht="17.5" customHeight="1" x14ac:dyDescent="0.35">
      <c r="A34" s="31" t="s">
        <v>409</v>
      </c>
      <c r="C34">
        <v>0</v>
      </c>
      <c r="K34" s="280" t="s">
        <v>442</v>
      </c>
      <c r="L34" s="335">
        <f>' TAM &amp; SOM'!C19*1000</f>
        <v>258.5</v>
      </c>
      <c r="M34" t="s">
        <v>254</v>
      </c>
    </row>
    <row r="35" spans="1:13" x14ac:dyDescent="0.35">
      <c r="A35" t="s">
        <v>294</v>
      </c>
      <c r="C35" s="252">
        <f>G17+G18</f>
        <v>117923.99999999997</v>
      </c>
      <c r="D35" s="252">
        <f>C35*D30</f>
        <v>141508.79999999996</v>
      </c>
      <c r="E35" s="252">
        <f t="shared" ref="E35:I35" si="4">D35*E30</f>
        <v>424526.39999999991</v>
      </c>
      <c r="F35" s="252">
        <f t="shared" si="4"/>
        <v>1273579.1999999997</v>
      </c>
      <c r="G35" s="252">
        <f t="shared" si="4"/>
        <v>1910368.7999999996</v>
      </c>
      <c r="H35" s="252">
        <f t="shared" si="4"/>
        <v>3820737.5999999992</v>
      </c>
      <c r="I35" s="252">
        <f t="shared" si="4"/>
        <v>5731106.3999999985</v>
      </c>
      <c r="K35" s="280" t="s">
        <v>439</v>
      </c>
      <c r="L35" s="252">
        <f>' TAM &amp; SOM'!D19*1000000000</f>
        <v>168025000</v>
      </c>
    </row>
    <row r="36" spans="1:13" x14ac:dyDescent="0.35">
      <c r="A36" t="s">
        <v>331</v>
      </c>
      <c r="C36" s="252">
        <f>G20</f>
        <v>42000</v>
      </c>
      <c r="D36" s="252">
        <f>C36*D32</f>
        <v>50400</v>
      </c>
      <c r="E36" s="252">
        <f t="shared" ref="E36:I36" si="5">D36*E32</f>
        <v>100800</v>
      </c>
      <c r="F36" s="252">
        <f t="shared" si="5"/>
        <v>120960</v>
      </c>
      <c r="G36" s="252">
        <f t="shared" si="5"/>
        <v>181440</v>
      </c>
      <c r="H36" s="252">
        <f t="shared" si="5"/>
        <v>235872</v>
      </c>
      <c r="I36" s="252">
        <f t="shared" si="5"/>
        <v>306633.60000000003</v>
      </c>
      <c r="K36" s="280" t="s">
        <v>349</v>
      </c>
      <c r="L36" s="252">
        <f>L35*L27</f>
        <v>3360500</v>
      </c>
    </row>
    <row r="37" spans="1:13" x14ac:dyDescent="0.35">
      <c r="A37" s="31" t="s">
        <v>410</v>
      </c>
      <c r="B37" s="31"/>
      <c r="C37" s="260">
        <f>C36+C35</f>
        <v>159923.99999999997</v>
      </c>
      <c r="D37" s="260">
        <f t="shared" ref="D37:I37" si="6">D36+D35</f>
        <v>191908.79999999996</v>
      </c>
      <c r="E37" s="260">
        <f t="shared" si="6"/>
        <v>525326.39999999991</v>
      </c>
      <c r="F37" s="260">
        <f t="shared" si="6"/>
        <v>1394539.1999999997</v>
      </c>
      <c r="G37" s="260">
        <f t="shared" si="6"/>
        <v>2091808.7999999996</v>
      </c>
      <c r="H37" s="260">
        <f t="shared" si="6"/>
        <v>4056609.5999999992</v>
      </c>
      <c r="I37" s="260">
        <f t="shared" si="6"/>
        <v>6037739.9999999981</v>
      </c>
      <c r="K37" s="280" t="s">
        <v>336</v>
      </c>
      <c r="L37" s="252">
        <f>L35*L28</f>
        <v>2940437.5000000005</v>
      </c>
    </row>
    <row r="38" spans="1:13" x14ac:dyDescent="0.35">
      <c r="A38" s="31" t="s">
        <v>411</v>
      </c>
      <c r="K38" s="280" t="s">
        <v>441</v>
      </c>
      <c r="L38" s="252">
        <f>L37+L36</f>
        <v>6300937.5</v>
      </c>
    </row>
    <row r="39" spans="1:13" x14ac:dyDescent="0.35">
      <c r="C39" s="252">
        <f>G22</f>
        <v>1417218.5625000002</v>
      </c>
      <c r="K39" s="280" t="s">
        <v>440</v>
      </c>
      <c r="L39">
        <v>3</v>
      </c>
    </row>
    <row r="40" spans="1:13" x14ac:dyDescent="0.35">
      <c r="A40" t="s">
        <v>464</v>
      </c>
      <c r="C40" s="252">
        <f>C39+C37</f>
        <v>1577142.5625000002</v>
      </c>
      <c r="K40" s="280"/>
    </row>
    <row r="41" spans="1:13" x14ac:dyDescent="0.35">
      <c r="A41" t="s">
        <v>420</v>
      </c>
      <c r="C41" s="253">
        <f>G7/C40</f>
        <v>0.12326089259289771</v>
      </c>
      <c r="K41" s="280" t="s">
        <v>354</v>
      </c>
      <c r="L41">
        <f>L34/L39</f>
        <v>86.166666666666671</v>
      </c>
    </row>
    <row r="42" spans="1:13" x14ac:dyDescent="0.35">
      <c r="A42" t="s">
        <v>421</v>
      </c>
      <c r="C42" s="384">
        <f>C41*1.42</f>
        <v>0.17503046748191475</v>
      </c>
      <c r="D42" t="s">
        <v>475</v>
      </c>
      <c r="E42" s="242">
        <v>0.05</v>
      </c>
      <c r="F42" t="s">
        <v>476</v>
      </c>
    </row>
    <row r="43" spans="1:13" s="31" customFormat="1" x14ac:dyDescent="0.35">
      <c r="A43" s="31" t="s">
        <v>461</v>
      </c>
      <c r="B43" t="s">
        <v>422</v>
      </c>
      <c r="C43" s="384"/>
    </row>
    <row r="44" spans="1:13" s="31" customFormat="1" x14ac:dyDescent="0.35">
      <c r="A44" s="31" t="s">
        <v>477</v>
      </c>
      <c r="B44"/>
      <c r="C44" s="343"/>
      <c r="D44" s="98">
        <v>0.05</v>
      </c>
      <c r="E44" s="98">
        <v>0.05</v>
      </c>
      <c r="F44" s="98">
        <v>0.03</v>
      </c>
      <c r="G44" s="98">
        <v>0.03</v>
      </c>
      <c r="H44" s="98">
        <v>0.03</v>
      </c>
      <c r="I44" s="98">
        <v>0.03</v>
      </c>
    </row>
    <row r="45" spans="1:13" s="31" customFormat="1" x14ac:dyDescent="0.35">
      <c r="A45" s="31" t="s">
        <v>474</v>
      </c>
      <c r="B45"/>
      <c r="C45" s="344">
        <f>M.Shars!I62</f>
        <v>1577142.5625000002</v>
      </c>
      <c r="D45" s="260">
        <f>M.Shars!Q62</f>
        <v>8187862.2427968755</v>
      </c>
      <c r="E45" s="260">
        <f>M.Shars!I75</f>
        <v>19645018.861892138</v>
      </c>
      <c r="F45" s="260">
        <f>M.Shars!Q75</f>
        <v>27073301.294061359</v>
      </c>
      <c r="G45" s="260">
        <f>M.Shars!I88</f>
        <v>38579511.043106258</v>
      </c>
      <c r="H45" s="260">
        <f>M.Shars!Q88</f>
        <v>49046257.711119369</v>
      </c>
      <c r="I45" s="260">
        <f>M.Shars!I102</f>
        <v>82412580.836310521</v>
      </c>
    </row>
    <row r="46" spans="1:13" x14ac:dyDescent="0.35">
      <c r="A46" t="s">
        <v>423</v>
      </c>
      <c r="C46" s="252">
        <f>D4</f>
        <v>266400</v>
      </c>
      <c r="D46" s="252">
        <f>D44*D45</f>
        <v>409393.11213984381</v>
      </c>
      <c r="E46" s="252">
        <f t="shared" ref="E46:I46" si="7">E44*E45</f>
        <v>982250.94309460698</v>
      </c>
      <c r="F46" s="252">
        <f t="shared" si="7"/>
        <v>812199.03882184078</v>
      </c>
      <c r="G46" s="252">
        <f t="shared" si="7"/>
        <v>1157385.3312931878</v>
      </c>
      <c r="H46" s="252">
        <f t="shared" si="7"/>
        <v>1471387.731333581</v>
      </c>
      <c r="I46" s="252">
        <f t="shared" si="7"/>
        <v>2472377.4250893155</v>
      </c>
    </row>
  </sheetData>
  <mergeCells count="7">
    <mergeCell ref="K6:L6"/>
    <mergeCell ref="K23:L23"/>
    <mergeCell ref="C42:C43"/>
    <mergeCell ref="L9:M9"/>
    <mergeCell ref="A16:D16"/>
    <mergeCell ref="A17:A19"/>
    <mergeCell ref="K30:L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429FB-DE56-4DB9-8C48-03FAA15126F1}">
  <dimension ref="A1:AE26"/>
  <sheetViews>
    <sheetView topLeftCell="A4" zoomScale="85" zoomScaleNormal="85" workbookViewId="0">
      <selection activeCell="S23" sqref="S23"/>
    </sheetView>
  </sheetViews>
  <sheetFormatPr defaultRowHeight="14.5" x14ac:dyDescent="0.35"/>
  <cols>
    <col min="1" max="1" width="17.36328125" customWidth="1"/>
    <col min="2" max="2" width="12.7265625" style="252" bestFit="1" customWidth="1"/>
    <col min="4" max="4" width="14.81640625" customWidth="1"/>
    <col min="5" max="5" width="8.7265625" style="1"/>
    <col min="9" max="9" width="15.54296875" customWidth="1"/>
    <col min="10" max="10" width="12.36328125" customWidth="1"/>
    <col min="12" max="12" width="10.90625" bestFit="1" customWidth="1"/>
    <col min="17" max="17" width="2.26953125" customWidth="1"/>
    <col min="18" max="18" width="2.90625" customWidth="1"/>
    <col min="19" max="19" width="12.81640625" customWidth="1"/>
    <col min="21" max="21" width="18.08984375" bestFit="1" customWidth="1"/>
    <col min="22" max="22" width="18.90625" bestFit="1" customWidth="1"/>
    <col min="25" max="25" width="19.08984375" bestFit="1" customWidth="1"/>
    <col min="26" max="26" width="19.26953125" customWidth="1"/>
    <col min="29" max="29" width="12.7265625" bestFit="1" customWidth="1"/>
    <col min="31" max="31" width="12.7265625" bestFit="1" customWidth="1"/>
  </cols>
  <sheetData>
    <row r="1" spans="1:31" ht="15" thickBot="1" x14ac:dyDescent="0.4">
      <c r="I1" s="31" t="s">
        <v>402</v>
      </c>
      <c r="S1" t="s">
        <v>554</v>
      </c>
      <c r="T1" s="31" t="s">
        <v>366</v>
      </c>
    </row>
    <row r="2" spans="1:31" x14ac:dyDescent="0.35">
      <c r="A2" s="31" t="s">
        <v>359</v>
      </c>
      <c r="B2" s="260" t="s">
        <v>302</v>
      </c>
      <c r="C2" s="31" t="s">
        <v>232</v>
      </c>
      <c r="D2" s="31" t="s">
        <v>360</v>
      </c>
      <c r="E2" s="98" t="s">
        <v>419</v>
      </c>
      <c r="I2" t="s">
        <v>362</v>
      </c>
      <c r="J2" s="252">
        <v>20000</v>
      </c>
      <c r="K2" t="s">
        <v>363</v>
      </c>
      <c r="R2" t="s">
        <v>402</v>
      </c>
      <c r="T2" s="4" t="s">
        <v>149</v>
      </c>
      <c r="U2" s="187" t="s">
        <v>380</v>
      </c>
      <c r="V2" s="283" t="s">
        <v>379</v>
      </c>
      <c r="W2" s="187" t="s">
        <v>232</v>
      </c>
      <c r="X2" s="187" t="s">
        <v>458</v>
      </c>
      <c r="Y2" s="283" t="s">
        <v>388</v>
      </c>
      <c r="Z2" s="225" t="s">
        <v>382</v>
      </c>
      <c r="AA2" s="187"/>
      <c r="AB2" s="187" t="s">
        <v>449</v>
      </c>
      <c r="AC2" s="340" t="s">
        <v>1</v>
      </c>
      <c r="AD2" s="339" t="s">
        <v>459</v>
      </c>
      <c r="AE2" s="339" t="s">
        <v>233</v>
      </c>
    </row>
    <row r="3" spans="1:31" x14ac:dyDescent="0.35">
      <c r="A3" t="s">
        <v>293</v>
      </c>
      <c r="B3" s="252">
        <f>'Mrkting &amp; BD'!D4</f>
        <v>266400</v>
      </c>
      <c r="C3">
        <v>1</v>
      </c>
      <c r="D3" s="252">
        <f>C3*B3</f>
        <v>266400</v>
      </c>
      <c r="E3" s="253">
        <f t="shared" ref="E3:E15" si="0">D3/$D$20</f>
        <v>0.27332888729287436</v>
      </c>
      <c r="I3" t="s">
        <v>364</v>
      </c>
      <c r="J3" s="252">
        <v>36000</v>
      </c>
      <c r="K3" t="s">
        <v>307</v>
      </c>
      <c r="S3">
        <f>(SUM(Y3:Y11)+Y15)/Y24</f>
        <v>0.22459097669806644</v>
      </c>
      <c r="T3" s="9" t="s">
        <v>367</v>
      </c>
      <c r="U3" s="285">
        <v>43000</v>
      </c>
      <c r="V3" s="276">
        <v>9750</v>
      </c>
      <c r="W3">
        <v>1</v>
      </c>
      <c r="X3" s="210">
        <v>12</v>
      </c>
      <c r="Y3" s="285">
        <f>W3*U3*X3</f>
        <v>516000</v>
      </c>
      <c r="Z3" s="276">
        <f>V3*W3*X3</f>
        <v>117000</v>
      </c>
      <c r="AB3" t="s">
        <v>450</v>
      </c>
      <c r="AC3" s="252">
        <f>Y26</f>
        <v>484080</v>
      </c>
      <c r="AD3" s="189"/>
      <c r="AE3" s="189"/>
    </row>
    <row r="4" spans="1:31" x14ac:dyDescent="0.35">
      <c r="A4" t="s">
        <v>361</v>
      </c>
      <c r="B4" s="252">
        <f>J5</f>
        <v>60800</v>
      </c>
      <c r="C4">
        <v>1</v>
      </c>
      <c r="D4" s="252">
        <f t="shared" ref="D4:D15" si="1">C4*B4</f>
        <v>60800</v>
      </c>
      <c r="E4" s="253">
        <f t="shared" si="0"/>
        <v>6.2381367670445803E-2</v>
      </c>
      <c r="I4" t="s">
        <v>365</v>
      </c>
      <c r="J4" s="252">
        <f>400*12</f>
        <v>4800</v>
      </c>
      <c r="K4" t="s">
        <v>307</v>
      </c>
      <c r="R4" t="s">
        <v>555</v>
      </c>
      <c r="T4" s="9" t="s">
        <v>368</v>
      </c>
      <c r="U4" s="285">
        <v>37000</v>
      </c>
      <c r="V4" s="276">
        <v>12000</v>
      </c>
      <c r="W4">
        <v>1</v>
      </c>
      <c r="X4" s="210">
        <v>12</v>
      </c>
      <c r="Y4" s="285">
        <f t="shared" ref="Y4:Y20" si="2">W4*U4*X4</f>
        <v>444000</v>
      </c>
      <c r="Z4" s="276">
        <f t="shared" ref="Z4:Z21" si="3">V4*W4*X4</f>
        <v>144000</v>
      </c>
      <c r="AB4" t="s">
        <v>451</v>
      </c>
      <c r="AC4" s="252">
        <v>110000</v>
      </c>
      <c r="AD4" s="189"/>
      <c r="AE4" s="189"/>
    </row>
    <row r="5" spans="1:31" x14ac:dyDescent="0.35">
      <c r="A5" t="s">
        <v>366</v>
      </c>
      <c r="B5" s="252">
        <f>Y26</f>
        <v>484080</v>
      </c>
      <c r="C5">
        <v>1</v>
      </c>
      <c r="D5" s="252">
        <f t="shared" si="1"/>
        <v>484080</v>
      </c>
      <c r="E5" s="253">
        <f t="shared" si="0"/>
        <v>0.4966705997024573</v>
      </c>
      <c r="I5" t="s">
        <v>233</v>
      </c>
      <c r="J5" s="252">
        <f>SUM(J2:J4)</f>
        <v>60800</v>
      </c>
      <c r="S5">
        <f>(Y14+Y17+Y18+Y21)/Y24</f>
        <v>0.68220128904313337</v>
      </c>
      <c r="T5" s="9" t="s">
        <v>369</v>
      </c>
      <c r="U5" s="285">
        <v>33000</v>
      </c>
      <c r="V5" s="276">
        <v>12000</v>
      </c>
      <c r="W5">
        <v>1</v>
      </c>
      <c r="X5" s="210">
        <v>12</v>
      </c>
      <c r="Y5" s="285">
        <f t="shared" si="2"/>
        <v>396000</v>
      </c>
      <c r="Z5" s="276">
        <f t="shared" si="3"/>
        <v>144000</v>
      </c>
      <c r="AB5" t="s">
        <v>452</v>
      </c>
      <c r="AC5" s="252">
        <v>70000</v>
      </c>
      <c r="AD5" s="189"/>
      <c r="AE5" s="189"/>
    </row>
    <row r="6" spans="1:31" ht="15" thickBot="1" x14ac:dyDescent="0.4">
      <c r="A6" t="s">
        <v>398</v>
      </c>
      <c r="B6" s="252">
        <f>180000/50</f>
        <v>3600</v>
      </c>
      <c r="C6">
        <v>12</v>
      </c>
      <c r="D6" s="252">
        <f t="shared" si="1"/>
        <v>43200</v>
      </c>
      <c r="E6" s="253">
        <f t="shared" si="0"/>
        <v>4.4323603344790435E-2</v>
      </c>
      <c r="T6" s="9" t="s">
        <v>370</v>
      </c>
      <c r="U6" s="285">
        <v>33000</v>
      </c>
      <c r="V6" s="276">
        <v>12000</v>
      </c>
      <c r="W6">
        <v>1</v>
      </c>
      <c r="X6" s="210">
        <v>12</v>
      </c>
      <c r="Y6" s="285">
        <f t="shared" si="2"/>
        <v>396000</v>
      </c>
      <c r="Z6" s="276">
        <f t="shared" si="3"/>
        <v>144000</v>
      </c>
      <c r="AB6" t="s">
        <v>453</v>
      </c>
      <c r="AC6" s="252">
        <v>70000</v>
      </c>
      <c r="AD6" s="189"/>
      <c r="AE6" s="189"/>
    </row>
    <row r="7" spans="1:31" ht="15" thickBot="1" x14ac:dyDescent="0.4">
      <c r="A7" t="s">
        <v>416</v>
      </c>
      <c r="B7" s="252">
        <f>15000*0.27</f>
        <v>4050.0000000000005</v>
      </c>
      <c r="C7">
        <v>1</v>
      </c>
      <c r="D7" s="252">
        <f t="shared" si="1"/>
        <v>4050.0000000000005</v>
      </c>
      <c r="E7" s="253">
        <f t="shared" si="0"/>
        <v>4.1553378135741042E-3</v>
      </c>
      <c r="I7" s="221" t="s">
        <v>234</v>
      </c>
      <c r="J7" s="222" t="s">
        <v>235</v>
      </c>
      <c r="K7" s="222" t="s">
        <v>246</v>
      </c>
      <c r="L7" s="222" t="s">
        <v>236</v>
      </c>
      <c r="M7" s="222" t="s">
        <v>237</v>
      </c>
      <c r="N7" s="224"/>
      <c r="O7" s="187" t="s">
        <v>238</v>
      </c>
      <c r="P7" s="188"/>
      <c r="T7" s="9" t="s">
        <v>371</v>
      </c>
      <c r="U7" s="285">
        <v>49000</v>
      </c>
      <c r="V7" s="276">
        <v>15000</v>
      </c>
      <c r="W7">
        <v>1</v>
      </c>
      <c r="X7" s="210">
        <v>12</v>
      </c>
      <c r="Y7" s="285">
        <f t="shared" si="2"/>
        <v>588000</v>
      </c>
      <c r="Z7" s="276">
        <f t="shared" si="3"/>
        <v>180000</v>
      </c>
      <c r="AB7" t="s">
        <v>454</v>
      </c>
      <c r="AC7" s="252">
        <v>40000</v>
      </c>
      <c r="AD7" s="189"/>
      <c r="AE7" s="189"/>
    </row>
    <row r="8" spans="1:31" x14ac:dyDescent="0.35">
      <c r="A8" t="s">
        <v>417</v>
      </c>
      <c r="B8" s="252">
        <f>J16</f>
        <v>33520</v>
      </c>
      <c r="C8">
        <v>1</v>
      </c>
      <c r="D8" s="252">
        <f t="shared" si="1"/>
        <v>33520</v>
      </c>
      <c r="E8" s="253">
        <f t="shared" si="0"/>
        <v>3.4391832965679985E-2</v>
      </c>
      <c r="I8" s="9" t="s">
        <v>412</v>
      </c>
      <c r="J8">
        <f>3500/50</f>
        <v>70</v>
      </c>
      <c r="K8">
        <v>24</v>
      </c>
      <c r="L8">
        <f>4*K8</f>
        <v>96</v>
      </c>
      <c r="M8">
        <v>110</v>
      </c>
      <c r="O8" t="s">
        <v>413</v>
      </c>
      <c r="P8" s="12">
        <v>100</v>
      </c>
      <c r="T8" s="9" t="s">
        <v>381</v>
      </c>
      <c r="U8" s="285">
        <v>44000</v>
      </c>
      <c r="V8" s="276">
        <v>30000</v>
      </c>
      <c r="W8">
        <v>1</v>
      </c>
      <c r="X8" s="210">
        <v>12</v>
      </c>
      <c r="Y8" s="285">
        <f t="shared" si="2"/>
        <v>528000</v>
      </c>
      <c r="Z8" s="276">
        <f t="shared" si="3"/>
        <v>360000</v>
      </c>
      <c r="AB8" t="s">
        <v>455</v>
      </c>
      <c r="AC8" s="252">
        <v>110000</v>
      </c>
      <c r="AD8" s="189"/>
      <c r="AE8" s="189"/>
    </row>
    <row r="9" spans="1:31" x14ac:dyDescent="0.35">
      <c r="A9" t="s">
        <v>418</v>
      </c>
      <c r="B9" s="252">
        <v>12500</v>
      </c>
      <c r="C9">
        <v>1</v>
      </c>
      <c r="D9" s="252">
        <f t="shared" si="1"/>
        <v>12500</v>
      </c>
      <c r="E9" s="253">
        <f t="shared" si="0"/>
        <v>1.2825116708562049E-2</v>
      </c>
      <c r="I9" s="9" t="s">
        <v>486</v>
      </c>
      <c r="J9">
        <f>15000/50</f>
        <v>300</v>
      </c>
      <c r="K9">
        <v>8</v>
      </c>
      <c r="L9">
        <f>K9*4</f>
        <v>32</v>
      </c>
      <c r="O9" t="s">
        <v>414</v>
      </c>
      <c r="P9" s="12">
        <f>3000/50</f>
        <v>60</v>
      </c>
      <c r="T9" s="9" t="s">
        <v>372</v>
      </c>
      <c r="U9" s="285">
        <v>40000</v>
      </c>
      <c r="V9" s="276">
        <v>25000</v>
      </c>
      <c r="W9">
        <v>1</v>
      </c>
      <c r="X9" s="210">
        <v>12</v>
      </c>
      <c r="Y9" s="285">
        <f t="shared" si="2"/>
        <v>480000</v>
      </c>
      <c r="Z9" s="276">
        <f t="shared" si="3"/>
        <v>300000</v>
      </c>
      <c r="AB9" t="s">
        <v>456</v>
      </c>
      <c r="AC9" s="252">
        <v>110000</v>
      </c>
      <c r="AD9" s="189"/>
      <c r="AE9" s="189"/>
    </row>
    <row r="10" spans="1:31" x14ac:dyDescent="0.35">
      <c r="A10" t="s">
        <v>470</v>
      </c>
      <c r="B10" s="252">
        <f>65000/50</f>
        <v>1300</v>
      </c>
      <c r="C10">
        <v>12</v>
      </c>
      <c r="D10" s="252">
        <f t="shared" si="1"/>
        <v>15600</v>
      </c>
      <c r="E10" s="253">
        <f t="shared" si="0"/>
        <v>1.6005745652285436E-2</v>
      </c>
      <c r="I10" s="9"/>
      <c r="O10" t="s">
        <v>239</v>
      </c>
      <c r="P10" s="12">
        <f>P9</f>
        <v>60</v>
      </c>
      <c r="T10" s="9" t="s">
        <v>374</v>
      </c>
      <c r="U10" s="285">
        <v>27000</v>
      </c>
      <c r="V10" s="276">
        <v>18000</v>
      </c>
      <c r="W10">
        <v>1</v>
      </c>
      <c r="X10" s="210">
        <v>12</v>
      </c>
      <c r="Y10" s="285">
        <f t="shared" si="2"/>
        <v>324000</v>
      </c>
      <c r="Z10" s="276">
        <f t="shared" si="3"/>
        <v>216000</v>
      </c>
      <c r="AB10" t="s">
        <v>457</v>
      </c>
      <c r="AC10" s="252">
        <v>80000</v>
      </c>
      <c r="AD10" s="189"/>
      <c r="AE10" s="189"/>
    </row>
    <row r="11" spans="1:31" x14ac:dyDescent="0.35">
      <c r="A11" t="s">
        <v>471</v>
      </c>
      <c r="B11" s="252">
        <f>25000/50</f>
        <v>500</v>
      </c>
      <c r="C11">
        <v>12</v>
      </c>
      <c r="D11" s="252">
        <f t="shared" si="1"/>
        <v>6000</v>
      </c>
      <c r="E11" s="253">
        <f t="shared" si="0"/>
        <v>6.1560560201097828E-3</v>
      </c>
      <c r="I11" s="9"/>
      <c r="O11" t="s">
        <v>415</v>
      </c>
      <c r="P11" s="12">
        <f>3000/50</f>
        <v>60</v>
      </c>
      <c r="T11" s="9" t="s">
        <v>373</v>
      </c>
      <c r="U11" s="285">
        <v>22000</v>
      </c>
      <c r="V11" s="276">
        <v>15000</v>
      </c>
      <c r="W11">
        <v>1</v>
      </c>
      <c r="X11" s="210">
        <v>12</v>
      </c>
      <c r="Y11" s="285">
        <f t="shared" si="2"/>
        <v>264000</v>
      </c>
      <c r="Z11" s="276">
        <f t="shared" si="3"/>
        <v>180000</v>
      </c>
      <c r="AB11" t="s">
        <v>460</v>
      </c>
      <c r="AC11" s="252">
        <f>SUM(Y3:Y13)*1.25/50</f>
        <v>110400</v>
      </c>
      <c r="AD11" s="189"/>
      <c r="AE11" s="342">
        <f>SUM(AC3:AC11)</f>
        <v>1184480</v>
      </c>
    </row>
    <row r="12" spans="1:31" ht="15" thickBot="1" x14ac:dyDescent="0.4">
      <c r="A12" t="s">
        <v>481</v>
      </c>
      <c r="B12" s="252">
        <f>J19</f>
        <v>700</v>
      </c>
      <c r="C12">
        <v>21</v>
      </c>
      <c r="D12" s="252">
        <f t="shared" si="1"/>
        <v>14700</v>
      </c>
      <c r="E12" s="253">
        <f t="shared" si="0"/>
        <v>1.5082337249268968E-2</v>
      </c>
      <c r="I12" s="86"/>
      <c r="J12" s="28"/>
      <c r="K12" s="28" t="s">
        <v>240</v>
      </c>
      <c r="L12" s="28">
        <f>SUM(L8:L11)</f>
        <v>128</v>
      </c>
      <c r="M12" s="28"/>
      <c r="N12" s="223">
        <f>N8*L13</f>
        <v>0</v>
      </c>
      <c r="O12" s="28"/>
      <c r="P12" s="91">
        <f>AVERAGE(P8:P11)</f>
        <v>70</v>
      </c>
      <c r="T12" s="9" t="s">
        <v>375</v>
      </c>
      <c r="U12" s="285">
        <v>20000</v>
      </c>
      <c r="V12" s="276">
        <v>19000</v>
      </c>
      <c r="W12">
        <v>1</v>
      </c>
      <c r="X12" s="210">
        <v>12</v>
      </c>
      <c r="Y12" s="285">
        <f t="shared" si="2"/>
        <v>240000</v>
      </c>
      <c r="Z12" s="276">
        <f t="shared" si="3"/>
        <v>228000</v>
      </c>
      <c r="AC12" s="252"/>
      <c r="AD12" s="189"/>
      <c r="AE12" s="189"/>
    </row>
    <row r="13" spans="1:31" x14ac:dyDescent="0.35">
      <c r="A13" t="s">
        <v>483</v>
      </c>
      <c r="B13" s="252">
        <f>D12/3</f>
        <v>4900</v>
      </c>
      <c r="C13">
        <v>2</v>
      </c>
      <c r="D13" s="252">
        <f t="shared" si="1"/>
        <v>9800</v>
      </c>
      <c r="E13" s="1">
        <f t="shared" si="0"/>
        <v>1.0054891499512646E-2</v>
      </c>
      <c r="I13" s="84" t="s">
        <v>241</v>
      </c>
      <c r="J13" s="289">
        <f>L12*M8</f>
        <v>14080</v>
      </c>
      <c r="T13" s="9" t="s">
        <v>376</v>
      </c>
      <c r="U13" s="285">
        <v>20000</v>
      </c>
      <c r="V13" s="276">
        <v>20000</v>
      </c>
      <c r="W13">
        <v>1</v>
      </c>
      <c r="X13" s="210">
        <v>12</v>
      </c>
      <c r="Y13" s="285">
        <f t="shared" si="2"/>
        <v>240000</v>
      </c>
      <c r="Z13" s="276">
        <f t="shared" si="3"/>
        <v>240000</v>
      </c>
      <c r="AC13" s="252"/>
      <c r="AD13" s="189"/>
      <c r="AE13" s="189"/>
    </row>
    <row r="14" spans="1:31" x14ac:dyDescent="0.35">
      <c r="A14" t="s">
        <v>484</v>
      </c>
      <c r="B14" s="252">
        <f>1000000/50</f>
        <v>20000</v>
      </c>
      <c r="C14">
        <v>1</v>
      </c>
      <c r="D14" s="252">
        <f t="shared" si="1"/>
        <v>20000</v>
      </c>
      <c r="E14" s="1">
        <f t="shared" si="0"/>
        <v>2.0520186733699278E-2</v>
      </c>
      <c r="I14" s="9" t="s">
        <v>242</v>
      </c>
      <c r="J14" s="75">
        <f>(J8*K8)+(J9*K9)+(J10*K10)+(J11*K11)</f>
        <v>4080</v>
      </c>
      <c r="T14" s="9" t="s">
        <v>378</v>
      </c>
      <c r="U14" s="285">
        <v>125000</v>
      </c>
      <c r="V14" s="276">
        <v>54000</v>
      </c>
      <c r="W14">
        <v>1</v>
      </c>
      <c r="X14" s="210">
        <v>12</v>
      </c>
      <c r="Y14" s="285">
        <f t="shared" si="2"/>
        <v>1500000</v>
      </c>
      <c r="Z14" s="276">
        <f t="shared" si="3"/>
        <v>648000</v>
      </c>
      <c r="AC14" s="252"/>
      <c r="AD14" s="189"/>
      <c r="AE14" s="189"/>
    </row>
    <row r="15" spans="1:31" x14ac:dyDescent="0.35">
      <c r="A15" t="s">
        <v>485</v>
      </c>
      <c r="B15" s="252">
        <f>B14/5</f>
        <v>4000</v>
      </c>
      <c r="C15">
        <v>1</v>
      </c>
      <c r="D15" s="252">
        <f t="shared" si="1"/>
        <v>4000</v>
      </c>
      <c r="E15" s="253">
        <f t="shared" si="0"/>
        <v>4.1040373467398552E-3</v>
      </c>
      <c r="F15" s="191">
        <f>E15+E14+E12+E11+E10+E9+E6+E7</f>
        <v>0.12317242086902991</v>
      </c>
      <c r="I15" s="9" t="s">
        <v>243</v>
      </c>
      <c r="J15" s="75">
        <f>120*L12</f>
        <v>15360</v>
      </c>
      <c r="T15" s="9" t="s">
        <v>377</v>
      </c>
      <c r="U15" s="285">
        <v>125000</v>
      </c>
      <c r="V15" s="276">
        <v>44000</v>
      </c>
      <c r="W15">
        <v>1</v>
      </c>
      <c r="X15" s="210">
        <v>12</v>
      </c>
      <c r="Y15" s="285">
        <f t="shared" si="2"/>
        <v>1500000</v>
      </c>
      <c r="Z15" s="276">
        <f t="shared" si="3"/>
        <v>528000</v>
      </c>
      <c r="AC15" s="252"/>
      <c r="AD15" s="189"/>
      <c r="AE15" s="189"/>
    </row>
    <row r="16" spans="1:31" ht="15" thickBot="1" x14ac:dyDescent="0.4">
      <c r="I16" s="5" t="s">
        <v>244</v>
      </c>
      <c r="J16" s="288">
        <f>SUM(J13:J15)</f>
        <v>33520</v>
      </c>
      <c r="T16" s="9" t="s">
        <v>383</v>
      </c>
      <c r="U16" s="285">
        <v>12000</v>
      </c>
      <c r="V16" s="276">
        <v>5000</v>
      </c>
      <c r="W16">
        <v>1</v>
      </c>
      <c r="X16" s="210">
        <v>12</v>
      </c>
      <c r="Y16" s="285">
        <f t="shared" si="2"/>
        <v>144000</v>
      </c>
      <c r="Z16" s="276">
        <f t="shared" si="3"/>
        <v>60000</v>
      </c>
      <c r="AC16" s="252"/>
      <c r="AD16" s="189"/>
      <c r="AE16" s="189"/>
    </row>
    <row r="17" spans="1:31" x14ac:dyDescent="0.35">
      <c r="T17" s="9" t="s">
        <v>384</v>
      </c>
      <c r="U17" s="285">
        <v>30000</v>
      </c>
      <c r="V17" s="276">
        <v>20000</v>
      </c>
      <c r="W17">
        <v>1</v>
      </c>
      <c r="X17" s="210">
        <v>12</v>
      </c>
      <c r="Y17" s="285">
        <f t="shared" si="2"/>
        <v>360000</v>
      </c>
      <c r="Z17" s="276">
        <f t="shared" si="3"/>
        <v>240000</v>
      </c>
      <c r="AC17" s="252"/>
      <c r="AD17" s="189"/>
      <c r="AE17" s="189"/>
    </row>
    <row r="18" spans="1:31" x14ac:dyDescent="0.35">
      <c r="I18" t="s">
        <v>480</v>
      </c>
      <c r="J18" t="s">
        <v>482</v>
      </c>
      <c r="K18" t="s">
        <v>232</v>
      </c>
      <c r="L18" t="s">
        <v>233</v>
      </c>
      <c r="T18" s="9" t="s">
        <v>387</v>
      </c>
      <c r="U18" s="285">
        <v>15000</v>
      </c>
      <c r="V18" s="276">
        <v>7000</v>
      </c>
      <c r="W18">
        <v>1</v>
      </c>
      <c r="X18" s="210">
        <v>12</v>
      </c>
      <c r="Y18" s="285">
        <f t="shared" si="2"/>
        <v>180000</v>
      </c>
      <c r="Z18" s="276">
        <f t="shared" si="3"/>
        <v>84000</v>
      </c>
      <c r="AC18" s="252"/>
      <c r="AD18" s="189"/>
      <c r="AE18" s="189"/>
    </row>
    <row r="19" spans="1:31" x14ac:dyDescent="0.35">
      <c r="I19" t="s">
        <v>481</v>
      </c>
      <c r="J19" s="252">
        <f>35000/50</f>
        <v>700</v>
      </c>
      <c r="K19">
        <f>SUM(Manpower!D2:D21)</f>
        <v>21</v>
      </c>
      <c r="L19" s="252">
        <f>K19*J19</f>
        <v>14700</v>
      </c>
      <c r="T19" s="9" t="s">
        <v>385</v>
      </c>
      <c r="U19" s="285">
        <v>20000</v>
      </c>
      <c r="V19" s="276">
        <v>10000</v>
      </c>
      <c r="W19">
        <v>1</v>
      </c>
      <c r="X19" s="210">
        <v>12</v>
      </c>
      <c r="Y19" s="285">
        <f t="shared" si="2"/>
        <v>240000</v>
      </c>
      <c r="Z19" s="276">
        <f t="shared" si="3"/>
        <v>120000</v>
      </c>
      <c r="AC19" s="252"/>
      <c r="AD19" s="189"/>
      <c r="AE19" s="189"/>
    </row>
    <row r="20" spans="1:31" x14ac:dyDescent="0.35">
      <c r="A20" s="31" t="s">
        <v>233</v>
      </c>
      <c r="B20" s="260"/>
      <c r="C20" s="31"/>
      <c r="D20" s="260">
        <f>SUM(D3:D15)</f>
        <v>974650</v>
      </c>
      <c r="E20" s="290">
        <f>SUM(E3:E9)</f>
        <v>0.92807674549838404</v>
      </c>
      <c r="T20" s="9" t="s">
        <v>386</v>
      </c>
      <c r="U20" s="285">
        <v>45000</v>
      </c>
      <c r="V20" s="276">
        <v>25000</v>
      </c>
      <c r="W20">
        <v>1</v>
      </c>
      <c r="X20" s="210">
        <v>12</v>
      </c>
      <c r="Y20" s="285">
        <f t="shared" si="2"/>
        <v>540000</v>
      </c>
      <c r="Z20" s="276">
        <f t="shared" si="3"/>
        <v>300000</v>
      </c>
      <c r="AC20" s="252"/>
      <c r="AD20" s="189"/>
      <c r="AE20" s="189"/>
    </row>
    <row r="21" spans="1:31" x14ac:dyDescent="0.35">
      <c r="A21" t="s">
        <v>472</v>
      </c>
      <c r="E21" s="253">
        <f>E11+E10+E9+E7+E6</f>
        <v>8.3465859539321813E-2</v>
      </c>
      <c r="T21" s="9" t="s">
        <v>389</v>
      </c>
      <c r="U21" s="285">
        <f>V21*13.4</f>
        <v>402000</v>
      </c>
      <c r="V21" s="276">
        <v>30000</v>
      </c>
      <c r="W21">
        <v>3</v>
      </c>
      <c r="X21" s="210">
        <v>12</v>
      </c>
      <c r="Y21" s="285">
        <f>X21*W21*U21</f>
        <v>14472000</v>
      </c>
      <c r="Z21" s="276">
        <f t="shared" si="3"/>
        <v>1080000</v>
      </c>
      <c r="AC21" s="252"/>
      <c r="AD21" s="189"/>
      <c r="AE21" s="189"/>
    </row>
    <row r="22" spans="1:31" x14ac:dyDescent="0.35">
      <c r="S22" t="s">
        <v>556</v>
      </c>
      <c r="T22" s="9" t="s">
        <v>468</v>
      </c>
      <c r="U22" s="285">
        <v>35000</v>
      </c>
      <c r="V22" s="276"/>
      <c r="W22">
        <v>1</v>
      </c>
      <c r="X22" s="210">
        <v>12</v>
      </c>
      <c r="Y22" s="285">
        <f>X22*W22*U22</f>
        <v>420000</v>
      </c>
      <c r="Z22" s="276"/>
      <c r="AC22" s="252"/>
      <c r="AD22" s="189"/>
      <c r="AE22" s="189"/>
    </row>
    <row r="23" spans="1:31" x14ac:dyDescent="0.35">
      <c r="S23" s="253">
        <f>(U22+U23+U20+U19)/Y24</f>
        <v>4.6273343249049748E-3</v>
      </c>
      <c r="T23" s="9" t="s">
        <v>469</v>
      </c>
      <c r="U23" s="285">
        <v>12000</v>
      </c>
      <c r="V23" s="276"/>
      <c r="W23">
        <v>3</v>
      </c>
      <c r="X23" s="210">
        <v>12</v>
      </c>
      <c r="Y23" s="285">
        <f>X23*W23*U23</f>
        <v>432000</v>
      </c>
      <c r="Z23" s="276"/>
      <c r="AC23" s="252"/>
      <c r="AD23" s="189"/>
      <c r="AE23" s="189"/>
    </row>
    <row r="24" spans="1:31" ht="15" thickBot="1" x14ac:dyDescent="0.4">
      <c r="T24" s="5" t="s">
        <v>233</v>
      </c>
      <c r="U24" s="286"/>
      <c r="V24" s="284"/>
      <c r="W24" s="228">
        <f>SUM(W3:W19)</f>
        <v>17</v>
      </c>
      <c r="X24" s="228"/>
      <c r="Y24" s="286">
        <f>SUM(Y3:Y23)</f>
        <v>24204000</v>
      </c>
      <c r="Z24" s="284">
        <f>SUM(Z3:Z21)</f>
        <v>5313000</v>
      </c>
      <c r="AA24" s="28"/>
      <c r="AB24" s="28"/>
      <c r="AC24" s="341"/>
      <c r="AD24" s="229"/>
      <c r="AE24" s="229"/>
    </row>
    <row r="25" spans="1:31" x14ac:dyDescent="0.35">
      <c r="V25" s="276"/>
      <c r="Y25" s="276"/>
      <c r="AC25" s="252"/>
      <c r="AD25" s="189"/>
      <c r="AE25" s="189"/>
    </row>
    <row r="26" spans="1:31" x14ac:dyDescent="0.35">
      <c r="V26" s="276"/>
      <c r="Y26" s="252">
        <f>Y24/50</f>
        <v>484080</v>
      </c>
      <c r="Z26" s="252">
        <f>Z24*0.27</f>
        <v>1434510</v>
      </c>
      <c r="AC26" s="252"/>
      <c r="AD26" s="189"/>
      <c r="AE26" s="18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workbookViewId="0">
      <selection activeCell="L1" sqref="L1:L1048576"/>
    </sheetView>
  </sheetViews>
  <sheetFormatPr defaultColWidth="0" defaultRowHeight="14.5" zeroHeight="1" x14ac:dyDescent="0.35"/>
  <cols>
    <col min="1" max="1" width="4" customWidth="1"/>
    <col min="2" max="2" width="12" customWidth="1"/>
    <col min="3" max="3" width="11" customWidth="1"/>
    <col min="4" max="4" width="11.453125" customWidth="1"/>
    <col min="5" max="5" width="11" customWidth="1"/>
    <col min="6" max="6" width="10.1796875" customWidth="1"/>
    <col min="7" max="7" width="12.81640625" customWidth="1"/>
    <col min="8" max="8" width="14.1796875" bestFit="1" customWidth="1"/>
    <col min="9" max="9" width="12.453125" customWidth="1"/>
    <col min="10" max="10" width="19" bestFit="1" customWidth="1"/>
    <col min="11" max="11" width="1.54296875" customWidth="1"/>
    <col min="12" max="12" width="20.81640625" bestFit="1" customWidth="1"/>
    <col min="13" max="15" width="9.1796875" customWidth="1"/>
    <col min="16" max="16" width="11.453125" customWidth="1"/>
    <col min="17" max="17" width="11.26953125" customWidth="1"/>
    <col min="18" max="18" width="0" hidden="1" customWidth="1"/>
    <col min="19" max="16384" width="9.1796875" hidden="1"/>
  </cols>
  <sheetData>
    <row r="1" spans="2:17" ht="8.25" customHeight="1" x14ac:dyDescent="0.35"/>
    <row r="2" spans="2:17" x14ac:dyDescent="0.35">
      <c r="B2" s="31" t="s">
        <v>2</v>
      </c>
      <c r="C2" s="386" t="s">
        <v>93</v>
      </c>
      <c r="D2" s="386"/>
      <c r="E2" s="386"/>
      <c r="F2" s="386"/>
    </row>
    <row r="3" spans="2:17" x14ac:dyDescent="0.35">
      <c r="B3" s="2">
        <v>0.35899999999999999</v>
      </c>
      <c r="C3" s="33" t="s">
        <v>94</v>
      </c>
      <c r="D3" s="33" t="s">
        <v>95</v>
      </c>
      <c r="E3" s="33" t="s">
        <v>6</v>
      </c>
      <c r="F3" s="33" t="s">
        <v>96</v>
      </c>
    </row>
    <row r="4" spans="2:17" ht="15" thickBot="1" x14ac:dyDescent="0.4">
      <c r="C4">
        <f>250*(1-B3)</f>
        <v>160.25</v>
      </c>
      <c r="D4">
        <f>C4/M35</f>
        <v>1.829337899543379E-2</v>
      </c>
      <c r="E4">
        <v>30</v>
      </c>
      <c r="F4">
        <f>E4*1.2</f>
        <v>36</v>
      </c>
    </row>
    <row r="5" spans="2:17" x14ac:dyDescent="0.35">
      <c r="B5" s="4" t="s">
        <v>0</v>
      </c>
      <c r="C5" s="187" t="s">
        <v>100</v>
      </c>
      <c r="D5" s="194"/>
      <c r="E5" s="183"/>
      <c r="F5" s="183"/>
      <c r="G5" s="183"/>
      <c r="H5" s="183"/>
      <c r="I5" s="183"/>
      <c r="J5" s="184"/>
      <c r="L5" s="4" t="s">
        <v>230</v>
      </c>
      <c r="M5" s="187"/>
      <c r="N5" s="187"/>
      <c r="O5" s="187"/>
      <c r="P5" s="187" t="s">
        <v>101</v>
      </c>
      <c r="Q5" s="188" t="s">
        <v>162</v>
      </c>
    </row>
    <row r="6" spans="2:17" x14ac:dyDescent="0.35">
      <c r="B6" s="6" t="s">
        <v>152</v>
      </c>
      <c r="C6" s="31" t="s">
        <v>102</v>
      </c>
      <c r="D6" s="31" t="s">
        <v>101</v>
      </c>
      <c r="E6" s="31" t="s">
        <v>103</v>
      </c>
      <c r="G6" s="31"/>
      <c r="H6" s="195" t="s">
        <v>104</v>
      </c>
      <c r="I6" s="31" t="s">
        <v>105</v>
      </c>
      <c r="J6" s="68" t="s">
        <v>1</v>
      </c>
      <c r="L6" s="9" t="s">
        <v>153</v>
      </c>
      <c r="M6">
        <v>40</v>
      </c>
      <c r="N6" t="s">
        <v>154</v>
      </c>
      <c r="O6">
        <v>2027</v>
      </c>
      <c r="P6" s="11">
        <f>(M6-$E$4)/400</f>
        <v>2.5000000000000001E-2</v>
      </c>
      <c r="Q6" s="185">
        <f>SUM(P6:P12)/7/2</f>
        <v>7.6841071428571425E-2</v>
      </c>
    </row>
    <row r="7" spans="2:17" x14ac:dyDescent="0.35">
      <c r="B7" s="6">
        <v>2023</v>
      </c>
      <c r="C7">
        <f>F4</f>
        <v>36</v>
      </c>
      <c r="D7" s="30">
        <v>7.4999999999999997E-2</v>
      </c>
      <c r="E7">
        <f>(1+D7)*C7</f>
        <v>38.699999999999996</v>
      </c>
      <c r="H7">
        <v>239.34</v>
      </c>
      <c r="I7">
        <f>H7/365/5</f>
        <v>0.13114520547945205</v>
      </c>
      <c r="J7" s="69">
        <f>I7*700*1000000000</f>
        <v>91801643835.616425</v>
      </c>
      <c r="L7" s="9" t="s">
        <v>153</v>
      </c>
      <c r="M7">
        <v>60</v>
      </c>
      <c r="P7" s="11">
        <f>(M7-$E$4)/400</f>
        <v>7.4999999999999997E-2</v>
      </c>
      <c r="Q7" s="12"/>
    </row>
    <row r="8" spans="2:17" x14ac:dyDescent="0.35">
      <c r="B8" s="6">
        <f>B7+1</f>
        <v>2024</v>
      </c>
      <c r="C8">
        <f>E7</f>
        <v>38.699999999999996</v>
      </c>
      <c r="D8" s="30">
        <v>7.4999999999999997E-2</v>
      </c>
      <c r="E8">
        <f t="shared" ref="E8:E14" si="0">(1+D8)*C8</f>
        <v>41.602499999999992</v>
      </c>
      <c r="H8">
        <v>244.54</v>
      </c>
      <c r="I8">
        <f t="shared" ref="I8:I12" si="1">H8/365/5</f>
        <v>0.1339945205479452</v>
      </c>
      <c r="J8" s="69">
        <f t="shared" ref="J8:J12" si="2">I8*700*1000000000</f>
        <v>93796164383.56163</v>
      </c>
      <c r="L8" s="9" t="s">
        <v>155</v>
      </c>
      <c r="M8">
        <v>70.489999999999995</v>
      </c>
      <c r="N8" t="s">
        <v>154</v>
      </c>
      <c r="O8">
        <v>2028</v>
      </c>
      <c r="P8" s="11">
        <f t="shared" ref="P8:P12" si="3">(M8-$E$4)/400</f>
        <v>0.10122499999999998</v>
      </c>
      <c r="Q8" s="12"/>
    </row>
    <row r="9" spans="2:17" x14ac:dyDescent="0.35">
      <c r="B9" s="6">
        <f t="shared" ref="B9:B14" si="4">B8+1</f>
        <v>2025</v>
      </c>
      <c r="C9">
        <f t="shared" ref="C9:C14" si="5">E8</f>
        <v>41.602499999999992</v>
      </c>
      <c r="D9" s="30">
        <v>7.4999999999999997E-2</v>
      </c>
      <c r="E9">
        <f t="shared" si="0"/>
        <v>44.722687499999992</v>
      </c>
      <c r="H9">
        <v>251.34</v>
      </c>
      <c r="I9">
        <f t="shared" si="1"/>
        <v>0.13772054794520547</v>
      </c>
      <c r="J9" s="69">
        <f t="shared" si="2"/>
        <v>96404383561.643829</v>
      </c>
      <c r="L9" s="9" t="s">
        <v>156</v>
      </c>
      <c r="M9">
        <f>30*9</f>
        <v>270</v>
      </c>
      <c r="N9" t="s">
        <v>154</v>
      </c>
      <c r="O9">
        <v>2050</v>
      </c>
      <c r="P9" s="11">
        <f t="shared" si="3"/>
        <v>0.6</v>
      </c>
      <c r="Q9" s="12"/>
    </row>
    <row r="10" spans="2:17" x14ac:dyDescent="0.35">
      <c r="B10" s="6">
        <f t="shared" si="4"/>
        <v>2026</v>
      </c>
      <c r="C10">
        <f t="shared" si="5"/>
        <v>44.722687499999992</v>
      </c>
      <c r="D10" s="30">
        <v>7.4999999999999997E-2</v>
      </c>
      <c r="E10">
        <f t="shared" si="0"/>
        <v>48.076889062499987</v>
      </c>
      <c r="H10">
        <v>256.3</v>
      </c>
      <c r="I10">
        <f t="shared" si="1"/>
        <v>0.14043835616438355</v>
      </c>
      <c r="J10" s="69">
        <f t="shared" si="2"/>
        <v>98306849315.068497</v>
      </c>
      <c r="L10" s="9" t="s">
        <v>157</v>
      </c>
      <c r="M10">
        <v>80</v>
      </c>
      <c r="N10" t="s">
        <v>6</v>
      </c>
      <c r="O10">
        <v>2030</v>
      </c>
      <c r="P10" s="11">
        <f t="shared" si="3"/>
        <v>0.125</v>
      </c>
      <c r="Q10" s="12"/>
    </row>
    <row r="11" spans="2:17" x14ac:dyDescent="0.35">
      <c r="B11" s="6">
        <f t="shared" si="4"/>
        <v>2027</v>
      </c>
      <c r="C11">
        <f t="shared" si="5"/>
        <v>48.076889062499987</v>
      </c>
      <c r="D11" s="30">
        <v>7.4999999999999997E-2</v>
      </c>
      <c r="E11">
        <f t="shared" si="0"/>
        <v>51.682655742187485</v>
      </c>
      <c r="H11">
        <v>265.83999999999997</v>
      </c>
      <c r="I11">
        <f t="shared" si="1"/>
        <v>0.14566575342465754</v>
      </c>
      <c r="J11" s="69">
        <f t="shared" si="2"/>
        <v>101966027397.26027</v>
      </c>
      <c r="L11" s="9" t="s">
        <v>158</v>
      </c>
      <c r="M11">
        <f>34.2+(1.8*3)</f>
        <v>39.6</v>
      </c>
      <c r="N11" t="s">
        <v>6</v>
      </c>
      <c r="O11">
        <v>2026</v>
      </c>
      <c r="P11" s="11">
        <f t="shared" si="3"/>
        <v>2.4000000000000004E-2</v>
      </c>
      <c r="Q11" s="12"/>
    </row>
    <row r="12" spans="2:17" ht="15" thickBot="1" x14ac:dyDescent="0.4">
      <c r="B12" s="6">
        <f t="shared" si="4"/>
        <v>2028</v>
      </c>
      <c r="C12">
        <f t="shared" si="5"/>
        <v>51.682655742187485</v>
      </c>
      <c r="D12" s="30">
        <v>7.4999999999999997E-2</v>
      </c>
      <c r="E12">
        <f t="shared" si="0"/>
        <v>55.558854922851545</v>
      </c>
      <c r="H12">
        <v>275.33</v>
      </c>
      <c r="I12">
        <f t="shared" si="1"/>
        <v>0.15086575342465752</v>
      </c>
      <c r="J12" s="69">
        <f t="shared" si="2"/>
        <v>105606027397.26027</v>
      </c>
      <c r="L12" s="86" t="s">
        <v>159</v>
      </c>
      <c r="M12" s="28">
        <v>80.22</v>
      </c>
      <c r="N12" s="28" t="s">
        <v>6</v>
      </c>
      <c r="O12" s="28">
        <v>2030</v>
      </c>
      <c r="P12" s="186">
        <f t="shared" si="3"/>
        <v>0.12554999999999999</v>
      </c>
      <c r="Q12" s="91"/>
    </row>
    <row r="13" spans="2:17" x14ac:dyDescent="0.35">
      <c r="B13" s="6">
        <f t="shared" si="4"/>
        <v>2029</v>
      </c>
      <c r="C13">
        <f t="shared" si="5"/>
        <v>55.558854922851545</v>
      </c>
      <c r="D13" s="30">
        <v>7.4999999999999997E-2</v>
      </c>
      <c r="E13">
        <f t="shared" si="0"/>
        <v>59.725769042065409</v>
      </c>
      <c r="J13" s="12"/>
    </row>
    <row r="14" spans="2:17" ht="15" thickBot="1" x14ac:dyDescent="0.4">
      <c r="B14" s="5">
        <f t="shared" si="4"/>
        <v>2030</v>
      </c>
      <c r="C14" s="28">
        <f t="shared" si="5"/>
        <v>59.725769042065409</v>
      </c>
      <c r="D14" s="88">
        <v>7.4999999999999997E-2</v>
      </c>
      <c r="E14" s="28">
        <f t="shared" si="0"/>
        <v>64.205201720220316</v>
      </c>
      <c r="F14" s="28"/>
      <c r="G14" s="28"/>
      <c r="H14" s="28"/>
      <c r="I14" s="28"/>
      <c r="J14" s="91"/>
    </row>
    <row r="15" spans="2:17" x14ac:dyDescent="0.35"/>
    <row r="16" spans="2:17" x14ac:dyDescent="0.35">
      <c r="B16" s="149" t="s">
        <v>97</v>
      </c>
      <c r="C16" s="149"/>
      <c r="D16" s="149"/>
      <c r="E16" s="149"/>
      <c r="F16" s="149"/>
      <c r="G16" s="149"/>
    </row>
    <row r="17" spans="2:14" x14ac:dyDescent="0.35">
      <c r="B17" s="149" t="s">
        <v>106</v>
      </c>
      <c r="C17" s="149"/>
      <c r="D17" s="149"/>
      <c r="E17" s="149">
        <f>4/5*100</f>
        <v>80</v>
      </c>
      <c r="F17" s="149" t="s">
        <v>107</v>
      </c>
      <c r="G17" s="149"/>
    </row>
    <row r="18" spans="2:14" x14ac:dyDescent="0.35"/>
    <row r="19" spans="2:14" ht="15" thickBot="1" x14ac:dyDescent="0.4"/>
    <row r="20" spans="2:14" x14ac:dyDescent="0.35">
      <c r="B20" s="4" t="s">
        <v>87</v>
      </c>
      <c r="C20" s="183"/>
      <c r="D20" s="183"/>
      <c r="E20" s="183"/>
      <c r="F20" s="183"/>
      <c r="G20" s="183"/>
      <c r="H20" s="183"/>
      <c r="I20" s="183"/>
      <c r="J20" s="184"/>
    </row>
    <row r="21" spans="2:14" x14ac:dyDescent="0.35">
      <c r="B21" s="6" t="s">
        <v>12</v>
      </c>
      <c r="C21" t="s">
        <v>0</v>
      </c>
      <c r="D21" t="s">
        <v>7</v>
      </c>
      <c r="E21" t="s">
        <v>8</v>
      </c>
      <c r="F21" t="s">
        <v>9</v>
      </c>
      <c r="G21" t="s">
        <v>10</v>
      </c>
      <c r="H21" t="s">
        <v>11</v>
      </c>
      <c r="I21" t="s">
        <v>20</v>
      </c>
      <c r="J21" s="12"/>
    </row>
    <row r="22" spans="2:14" x14ac:dyDescent="0.35">
      <c r="B22" s="9"/>
      <c r="C22" t="s">
        <v>13</v>
      </c>
      <c r="D22" s="190">
        <v>70868</v>
      </c>
      <c r="E22" s="190">
        <v>49103</v>
      </c>
      <c r="F22" s="190">
        <v>21765</v>
      </c>
      <c r="G22" s="191">
        <v>0.307</v>
      </c>
      <c r="H22" s="191">
        <v>0.28699999999999998</v>
      </c>
      <c r="I22" t="s">
        <v>21</v>
      </c>
      <c r="J22" s="12"/>
    </row>
    <row r="23" spans="2:14" x14ac:dyDescent="0.35">
      <c r="B23" s="9"/>
      <c r="C23" t="s">
        <v>15</v>
      </c>
      <c r="D23" s="190">
        <v>63833</v>
      </c>
      <c r="E23" s="190">
        <v>49406</v>
      </c>
      <c r="F23" s="190">
        <v>14427</v>
      </c>
      <c r="G23" s="191">
        <v>0.22600000000000001</v>
      </c>
      <c r="H23" s="191">
        <v>0.23300000000000001</v>
      </c>
      <c r="I23" t="s">
        <v>26</v>
      </c>
      <c r="J23" s="12"/>
      <c r="L23" s="189"/>
      <c r="M23" s="189"/>
      <c r="N23" s="189"/>
    </row>
    <row r="24" spans="2:14" x14ac:dyDescent="0.35">
      <c r="B24" s="9"/>
      <c r="C24" t="s">
        <v>16</v>
      </c>
      <c r="D24" s="190">
        <v>13826</v>
      </c>
      <c r="E24">
        <v>3942</v>
      </c>
      <c r="F24">
        <v>9884</v>
      </c>
      <c r="G24" s="191">
        <v>0.71499999999999997</v>
      </c>
      <c r="H24" s="191">
        <v>0.68400000000000005</v>
      </c>
      <c r="I24" t="s">
        <v>27</v>
      </c>
      <c r="J24" s="12"/>
      <c r="L24" s="189">
        <v>200</v>
      </c>
      <c r="M24" s="189">
        <v>80</v>
      </c>
      <c r="N24" s="189"/>
    </row>
    <row r="25" spans="2:14" x14ac:dyDescent="0.35">
      <c r="B25" s="9"/>
      <c r="C25" t="s">
        <v>17</v>
      </c>
      <c r="D25" s="190">
        <v>10931</v>
      </c>
      <c r="E25">
        <v>95</v>
      </c>
      <c r="F25" s="190">
        <v>10836</v>
      </c>
      <c r="G25" s="191">
        <v>0.99099999999999999</v>
      </c>
      <c r="H25" s="191">
        <v>0.93300000000000005</v>
      </c>
      <c r="I25" t="s">
        <v>22</v>
      </c>
      <c r="J25" s="12"/>
      <c r="L25" s="189" t="s">
        <v>98</v>
      </c>
      <c r="M25" s="189">
        <v>100</v>
      </c>
      <c r="N25" s="189"/>
    </row>
    <row r="26" spans="2:14" x14ac:dyDescent="0.35">
      <c r="B26" s="9"/>
      <c r="C26" t="s">
        <v>18</v>
      </c>
      <c r="D26" s="190">
        <v>53794</v>
      </c>
      <c r="E26" s="190">
        <v>33973</v>
      </c>
      <c r="F26" s="190">
        <v>19820</v>
      </c>
      <c r="G26" s="191">
        <v>0.36799999999999999</v>
      </c>
      <c r="H26" s="191">
        <v>0.4</v>
      </c>
      <c r="I26" t="s">
        <v>23</v>
      </c>
      <c r="J26" s="12"/>
      <c r="L26" s="189" t="s">
        <v>99</v>
      </c>
      <c r="M26" s="189">
        <f>100*200/80</f>
        <v>250</v>
      </c>
      <c r="N26" s="189"/>
    </row>
    <row r="27" spans="2:14" x14ac:dyDescent="0.35">
      <c r="B27" s="9"/>
      <c r="C27" t="s">
        <v>14</v>
      </c>
      <c r="D27" s="190">
        <v>20790</v>
      </c>
      <c r="E27" s="190">
        <v>13467</v>
      </c>
      <c r="F27">
        <v>7324</v>
      </c>
      <c r="G27" s="191">
        <v>0.35199999999999998</v>
      </c>
      <c r="H27" s="191">
        <v>0.35199999999999998</v>
      </c>
      <c r="J27" s="12"/>
      <c r="L27" s="189"/>
      <c r="M27" s="189"/>
      <c r="N27" s="189"/>
    </row>
    <row r="28" spans="2:14" x14ac:dyDescent="0.35">
      <c r="B28" s="9"/>
      <c r="C28" t="s">
        <v>24</v>
      </c>
      <c r="I28" t="s">
        <v>25</v>
      </c>
      <c r="J28" s="12"/>
      <c r="L28" s="189"/>
      <c r="M28" s="189"/>
      <c r="N28" s="189"/>
    </row>
    <row r="29" spans="2:14" x14ac:dyDescent="0.35">
      <c r="B29" s="9"/>
      <c r="C29" t="s">
        <v>28</v>
      </c>
      <c r="I29" t="s">
        <v>29</v>
      </c>
      <c r="J29" s="12"/>
    </row>
    <row r="30" spans="2:14" x14ac:dyDescent="0.35">
      <c r="B30" s="9"/>
      <c r="J30" s="12"/>
    </row>
    <row r="31" spans="2:14" ht="15" thickBot="1" x14ac:dyDescent="0.4">
      <c r="B31" s="86"/>
      <c r="C31" s="28" t="s">
        <v>19</v>
      </c>
      <c r="D31" s="192">
        <f>SUM(D22:D27)</f>
        <v>234042</v>
      </c>
      <c r="E31" s="192">
        <f>SUM(E22:E27)</f>
        <v>149986</v>
      </c>
      <c r="F31" s="192">
        <f>SUM(F22:F27)</f>
        <v>84056</v>
      </c>
      <c r="G31" s="193">
        <v>0.35899999999999999</v>
      </c>
      <c r="H31" s="193">
        <v>0.35899999999999999</v>
      </c>
      <c r="I31" s="28"/>
      <c r="J31" s="91"/>
    </row>
    <row r="32" spans="2:14" x14ac:dyDescent="0.35"/>
    <row r="33" spans="13:16" hidden="1" x14ac:dyDescent="0.35">
      <c r="M33" s="189" t="s">
        <v>231</v>
      </c>
      <c r="N33" s="189" t="s">
        <v>4</v>
      </c>
      <c r="O33" s="189" t="s">
        <v>5</v>
      </c>
      <c r="P33" s="189" t="s">
        <v>6</v>
      </c>
    </row>
    <row r="34" spans="13:16" hidden="1" x14ac:dyDescent="0.35">
      <c r="M34" s="189"/>
      <c r="N34" s="189"/>
      <c r="O34" s="189"/>
      <c r="P34" s="189"/>
    </row>
    <row r="35" spans="13:16" ht="19" hidden="1" x14ac:dyDescent="0.4">
      <c r="M35" s="196">
        <v>8760</v>
      </c>
      <c r="N35" s="189">
        <v>189</v>
      </c>
      <c r="O35" s="189">
        <f>N35/M35</f>
        <v>2.1575342465753426E-2</v>
      </c>
      <c r="P35" s="189">
        <f>O35*1000</f>
        <v>21.575342465753426</v>
      </c>
    </row>
    <row r="36" spans="13:16" hidden="1" x14ac:dyDescent="0.35">
      <c r="M36" s="189"/>
      <c r="N36" s="189"/>
      <c r="O36" s="189"/>
      <c r="P36" s="189">
        <f>P35*B3</f>
        <v>7.7455479452054794</v>
      </c>
    </row>
    <row r="37" spans="13:16" hidden="1" x14ac:dyDescent="0.35">
      <c r="M37" s="189"/>
      <c r="N37" s="189"/>
      <c r="O37" s="189">
        <f>30700/M35</f>
        <v>3.5045662100456623</v>
      </c>
      <c r="P37" s="189">
        <f>O37*1000</f>
        <v>3504.566210045662</v>
      </c>
    </row>
    <row r="38" spans="13:16" hidden="1" x14ac:dyDescent="0.35">
      <c r="M38" s="189"/>
      <c r="N38" s="189"/>
      <c r="O38" s="189"/>
      <c r="P38" s="189"/>
    </row>
  </sheetData>
  <mergeCells count="1">
    <mergeCell ref="C2:F2"/>
  </mergeCells>
  <phoneticPr fontId="11" type="noConversion"/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63557-284C-4FB7-9637-9218D12D52B5}">
  <dimension ref="A1:AG102"/>
  <sheetViews>
    <sheetView zoomScale="70" zoomScaleNormal="70" workbookViewId="0">
      <pane ySplit="2" topLeftCell="A6" activePane="bottomLeft" state="frozen"/>
      <selection pane="bottomLeft" activeCell="M32" sqref="M32"/>
    </sheetView>
  </sheetViews>
  <sheetFormatPr defaultColWidth="0" defaultRowHeight="14.5" zeroHeight="1" x14ac:dyDescent="0.35"/>
  <cols>
    <col min="1" max="1" width="11.453125" customWidth="1"/>
    <col min="2" max="2" width="9.1796875" customWidth="1"/>
    <col min="3" max="3" width="13.81640625" bestFit="1" customWidth="1"/>
    <col min="4" max="4" width="12.1796875" customWidth="1"/>
    <col min="5" max="5" width="10.54296875" bestFit="1" customWidth="1"/>
    <col min="6" max="6" width="10.1796875" bestFit="1" customWidth="1"/>
    <col min="7" max="7" width="9.1796875" customWidth="1"/>
    <col min="8" max="8" width="13" customWidth="1"/>
    <col min="9" max="9" width="3.7265625" style="1" customWidth="1"/>
    <col min="10" max="10" width="11.81640625" customWidth="1"/>
    <col min="11" max="11" width="12.26953125" customWidth="1"/>
    <col min="12" max="12" width="12" style="95" bestFit="1" customWidth="1"/>
    <col min="13" max="13" width="14.81640625" customWidth="1"/>
    <col min="14" max="14" width="12.81640625" customWidth="1"/>
    <col min="15" max="15" width="12.7265625" style="1" customWidth="1"/>
    <col min="16" max="16" width="10" customWidth="1"/>
    <col min="17" max="26" width="9.1796875" customWidth="1"/>
    <col min="27" max="27" width="16.81640625" customWidth="1"/>
    <col min="28" max="33" width="9.1796875" customWidth="1"/>
    <col min="34" max="16384" width="9.1796875" hidden="1"/>
  </cols>
  <sheetData>
    <row r="1" spans="1:32" ht="27" customHeight="1" x14ac:dyDescent="0.35">
      <c r="A1" s="4" t="s">
        <v>30</v>
      </c>
      <c r="B1" s="395" t="s">
        <v>184</v>
      </c>
      <c r="C1" s="391" t="s">
        <v>193</v>
      </c>
      <c r="D1" s="391"/>
      <c r="E1" s="391" t="s">
        <v>194</v>
      </c>
      <c r="F1" s="392"/>
      <c r="G1" s="389" t="s">
        <v>32</v>
      </c>
      <c r="H1" s="197" t="s">
        <v>33</v>
      </c>
      <c r="J1" s="61">
        <v>2022</v>
      </c>
      <c r="K1" s="31" t="s">
        <v>178</v>
      </c>
      <c r="L1" s="96" t="s">
        <v>161</v>
      </c>
      <c r="M1" s="31" t="s">
        <v>172</v>
      </c>
      <c r="N1" s="31"/>
      <c r="O1" s="98" t="s">
        <v>101</v>
      </c>
      <c r="P1" s="31" t="s">
        <v>162</v>
      </c>
      <c r="Q1" s="31" t="s">
        <v>200</v>
      </c>
    </row>
    <row r="2" spans="1:32" ht="25.5" thickBot="1" x14ac:dyDescent="0.4">
      <c r="A2" s="5"/>
      <c r="B2" s="396"/>
      <c r="C2" s="93" t="s">
        <v>171</v>
      </c>
      <c r="D2" s="94" t="s">
        <v>31</v>
      </c>
      <c r="E2" s="93" t="s">
        <v>170</v>
      </c>
      <c r="F2" s="93" t="s">
        <v>169</v>
      </c>
      <c r="G2" s="390"/>
      <c r="H2" s="198" t="s">
        <v>34</v>
      </c>
      <c r="L2" s="96" t="s">
        <v>6</v>
      </c>
      <c r="M2" s="31" t="s">
        <v>177</v>
      </c>
      <c r="N2" s="31" t="s">
        <v>152</v>
      </c>
      <c r="AB2" s="95"/>
      <c r="AE2" t="s">
        <v>112</v>
      </c>
    </row>
    <row r="3" spans="1:32" x14ac:dyDescent="0.35">
      <c r="A3" s="9"/>
      <c r="H3" s="12"/>
      <c r="AA3" t="s">
        <v>79</v>
      </c>
      <c r="AB3" s="95"/>
      <c r="AD3" t="s">
        <v>111</v>
      </c>
      <c r="AE3">
        <f>Financials!T10</f>
        <v>0.65</v>
      </c>
      <c r="AF3">
        <v>0.6</v>
      </c>
    </row>
    <row r="4" spans="1:32" x14ac:dyDescent="0.35">
      <c r="A4" s="9" t="s">
        <v>59</v>
      </c>
      <c r="B4">
        <f>(0.231+0.194)/2</f>
        <v>0.21250000000000002</v>
      </c>
      <c r="C4" s="10">
        <f>23201+8815+7992+7047+5203+3029+2113+617+261+200</f>
        <v>58478</v>
      </c>
      <c r="D4" s="10">
        <f>C4*0.75</f>
        <v>43858.5</v>
      </c>
      <c r="E4" s="10"/>
      <c r="F4" s="10"/>
      <c r="G4" s="11">
        <v>5.0000000000000001E-3</v>
      </c>
      <c r="H4" s="12">
        <f t="shared" ref="H4:H19" si="0">G4*D4</f>
        <v>219.29250000000002</v>
      </c>
      <c r="J4" s="132" t="s">
        <v>59</v>
      </c>
      <c r="K4" s="132"/>
      <c r="L4" s="133">
        <v>40</v>
      </c>
      <c r="M4" s="132">
        <v>70</v>
      </c>
      <c r="N4" s="132">
        <f>(2028+2030)/2</f>
        <v>2029</v>
      </c>
      <c r="O4" s="134">
        <f>(M4-L4)/L4</f>
        <v>0.75</v>
      </c>
      <c r="P4" s="134">
        <f>O4/(N4-$J$1)</f>
        <v>0.10714285714285714</v>
      </c>
      <c r="Q4" s="135">
        <f>L4*(1+P4)</f>
        <v>44.285714285714292</v>
      </c>
      <c r="AA4">
        <v>2030</v>
      </c>
      <c r="AB4" s="95"/>
    </row>
    <row r="5" spans="1:32" x14ac:dyDescent="0.35">
      <c r="A5" s="9" t="s">
        <v>60</v>
      </c>
      <c r="B5">
        <f>(0.18+0.29)/2</f>
        <v>0.23499999999999999</v>
      </c>
      <c r="C5" s="199">
        <v>9448</v>
      </c>
      <c r="D5" s="10">
        <f>C5*AE3</f>
        <v>6141.2</v>
      </c>
      <c r="E5" s="10"/>
      <c r="F5" s="10"/>
      <c r="G5" s="11">
        <v>2.5000000000000001E-3</v>
      </c>
      <c r="H5" s="12">
        <f t="shared" si="0"/>
        <v>15.353</v>
      </c>
      <c r="J5" s="141" t="s">
        <v>60</v>
      </c>
      <c r="K5" s="141" t="s">
        <v>201</v>
      </c>
      <c r="L5" s="142">
        <v>0.27</v>
      </c>
      <c r="M5" s="141">
        <v>0.75</v>
      </c>
      <c r="N5" s="141">
        <v>2030</v>
      </c>
      <c r="O5" s="143">
        <f>(M5-L5)/L5</f>
        <v>1.7777777777777777</v>
      </c>
      <c r="P5" s="143">
        <f>O5/(N5-$J$1)</f>
        <v>0.22222222222222221</v>
      </c>
      <c r="Q5" s="144">
        <f>L5*(1+P5)</f>
        <v>0.33000000000000007</v>
      </c>
      <c r="R5" t="s">
        <v>202</v>
      </c>
      <c r="AA5" s="26">
        <f>'Aus Market'!P37</f>
        <v>3504.566210045662</v>
      </c>
      <c r="AB5" s="95"/>
      <c r="AD5" t="s">
        <v>94</v>
      </c>
      <c r="AE5" t="s">
        <v>6</v>
      </c>
    </row>
    <row r="6" spans="1:32" x14ac:dyDescent="0.35">
      <c r="A6" s="110" t="s">
        <v>61</v>
      </c>
      <c r="B6" s="113"/>
      <c r="C6" s="200"/>
      <c r="D6" s="111">
        <f>D5+D4</f>
        <v>49999.7</v>
      </c>
      <c r="E6" s="111"/>
      <c r="F6" s="111"/>
      <c r="G6" s="112">
        <v>4.4999999999999997E-3</v>
      </c>
      <c r="H6" s="201">
        <f t="shared" si="0"/>
        <v>224.99864999999997</v>
      </c>
      <c r="J6" s="136" t="s">
        <v>58</v>
      </c>
      <c r="K6" s="136" t="s">
        <v>173</v>
      </c>
      <c r="L6" s="137">
        <v>141.6</v>
      </c>
      <c r="M6" s="136">
        <v>700</v>
      </c>
      <c r="N6" s="138">
        <v>2033</v>
      </c>
      <c r="O6" s="139">
        <f>(M6-L6)/L6</f>
        <v>3.9435028248587569</v>
      </c>
      <c r="P6" s="139">
        <f>O6/(N6-$J$1)</f>
        <v>0.35850025680534153</v>
      </c>
      <c r="Q6" s="140">
        <f>L6*(1+P6)</f>
        <v>192.36363636363635</v>
      </c>
      <c r="AA6" t="s">
        <v>113</v>
      </c>
      <c r="AB6" s="95"/>
      <c r="AD6">
        <v>8637</v>
      </c>
      <c r="AE6">
        <f>AD6/Conversions!G2*1000</f>
        <v>985.95890410958907</v>
      </c>
    </row>
    <row r="7" spans="1:32" x14ac:dyDescent="0.35">
      <c r="A7" s="106" t="s">
        <v>58</v>
      </c>
      <c r="B7" s="107">
        <f>(0.159+0.121)/2</f>
        <v>0.14000000000000001</v>
      </c>
      <c r="C7" s="202">
        <v>1117475</v>
      </c>
      <c r="D7" s="108">
        <f>C7*0.75</f>
        <v>838106.25</v>
      </c>
      <c r="E7" s="108"/>
      <c r="F7" s="108"/>
      <c r="G7" s="109">
        <v>5.0000000000000001E-3</v>
      </c>
      <c r="H7" s="203">
        <f>G7*D7</f>
        <v>4190.53125</v>
      </c>
      <c r="J7" s="145" t="s">
        <v>62</v>
      </c>
      <c r="K7" s="145"/>
      <c r="L7" s="146">
        <v>5</v>
      </c>
      <c r="M7" s="145">
        <v>35</v>
      </c>
      <c r="N7" s="145">
        <v>2050</v>
      </c>
      <c r="O7" s="147">
        <f>(M7-L7)/L7</f>
        <v>6</v>
      </c>
      <c r="P7" s="147">
        <f>O7/(N7-$J$1)</f>
        <v>0.21428571428571427</v>
      </c>
      <c r="Q7" s="148">
        <f>L7*(1+P7)</f>
        <v>6.0714285714285712</v>
      </c>
      <c r="R7" t="s">
        <v>203</v>
      </c>
      <c r="AB7" s="95"/>
    </row>
    <row r="8" spans="1:32" x14ac:dyDescent="0.35">
      <c r="A8" s="114" t="s">
        <v>62</v>
      </c>
      <c r="B8" s="117">
        <f>(0.117+0.101)/2</f>
        <v>0.10900000000000001</v>
      </c>
      <c r="C8" s="115">
        <f>(148.9+3.4)*1000</f>
        <v>152300</v>
      </c>
      <c r="D8" s="115">
        <f>C8*AE3</f>
        <v>98995</v>
      </c>
      <c r="E8" s="115"/>
      <c r="F8" s="115"/>
      <c r="G8" s="116">
        <v>2.5000000000000001E-3</v>
      </c>
      <c r="H8" s="204">
        <f t="shared" si="0"/>
        <v>247.48750000000001</v>
      </c>
      <c r="J8" s="149" t="s">
        <v>204</v>
      </c>
      <c r="K8" s="149" t="s">
        <v>206</v>
      </c>
      <c r="L8" s="150">
        <v>41.4</v>
      </c>
      <c r="M8" s="149">
        <v>85</v>
      </c>
      <c r="N8" s="149">
        <v>2026</v>
      </c>
      <c r="O8" s="151">
        <f>(M8-L8)/L8</f>
        <v>1.0531400966183575</v>
      </c>
      <c r="P8" s="151">
        <f>O8/(N8-$J$1)</f>
        <v>0.26328502415458938</v>
      </c>
      <c r="Q8" s="152">
        <f>L8*(1+P8)</f>
        <v>52.3</v>
      </c>
      <c r="R8" t="s">
        <v>205</v>
      </c>
      <c r="AA8" t="s">
        <v>114</v>
      </c>
      <c r="AB8" s="95"/>
      <c r="AE8">
        <v>210</v>
      </c>
    </row>
    <row r="9" spans="1:32" x14ac:dyDescent="0.35">
      <c r="A9" s="9" t="s">
        <v>63</v>
      </c>
      <c r="B9">
        <v>32.159999999999997</v>
      </c>
      <c r="C9" s="10">
        <v>211310</v>
      </c>
      <c r="D9" s="10">
        <f t="shared" ref="D9:D19" si="1">C9*$AE$3</f>
        <v>137351.5</v>
      </c>
      <c r="E9" s="10"/>
      <c r="F9" s="10"/>
      <c r="G9" s="11">
        <v>5.0000000000000001E-3</v>
      </c>
      <c r="H9" s="12">
        <f t="shared" si="0"/>
        <v>686.75750000000005</v>
      </c>
      <c r="J9" s="122" t="s">
        <v>207</v>
      </c>
      <c r="K9" s="122" t="s">
        <v>153</v>
      </c>
      <c r="L9" s="123"/>
      <c r="M9" s="122"/>
      <c r="N9" s="122"/>
      <c r="O9" s="124"/>
      <c r="P9" s="124"/>
      <c r="Q9" s="125">
        <v>2.4</v>
      </c>
      <c r="R9" t="s">
        <v>208</v>
      </c>
      <c r="AB9" s="95"/>
    </row>
    <row r="10" spans="1:32" x14ac:dyDescent="0.35">
      <c r="A10" s="9" t="s">
        <v>64</v>
      </c>
      <c r="B10">
        <f>(0.233 +0.204)/2</f>
        <v>0.2185</v>
      </c>
      <c r="C10" s="10">
        <v>116435</v>
      </c>
      <c r="D10" s="10">
        <f t="shared" si="1"/>
        <v>75682.75</v>
      </c>
      <c r="E10" s="10"/>
      <c r="F10" s="10"/>
      <c r="G10" s="11">
        <v>5.0000000000000001E-3</v>
      </c>
      <c r="H10" s="12">
        <f t="shared" si="0"/>
        <v>378.41374999999999</v>
      </c>
      <c r="J10" s="126" t="s">
        <v>210</v>
      </c>
      <c r="K10" s="126" t="s">
        <v>153</v>
      </c>
      <c r="L10" s="127"/>
      <c r="M10" s="126">
        <v>2400</v>
      </c>
      <c r="N10" s="126">
        <v>2027</v>
      </c>
      <c r="O10" s="128"/>
      <c r="P10" s="130">
        <v>9.6000000000000002E-2</v>
      </c>
      <c r="Q10" s="129">
        <v>295</v>
      </c>
      <c r="R10" t="s">
        <v>208</v>
      </c>
    </row>
    <row r="11" spans="1:32" x14ac:dyDescent="0.35">
      <c r="A11" s="9" t="s">
        <v>65</v>
      </c>
      <c r="B11">
        <f>(0.263+0.115)/2</f>
        <v>0.189</v>
      </c>
      <c r="C11" s="10">
        <v>112000</v>
      </c>
      <c r="D11" s="10">
        <f t="shared" si="1"/>
        <v>72800</v>
      </c>
      <c r="E11" s="10"/>
      <c r="F11" s="10"/>
      <c r="G11" s="11">
        <v>5.0000000000000001E-3</v>
      </c>
      <c r="H11" s="12">
        <f t="shared" si="0"/>
        <v>364</v>
      </c>
      <c r="P11" s="1"/>
      <c r="Q11" s="40"/>
      <c r="R11" t="s">
        <v>214</v>
      </c>
    </row>
    <row r="12" spans="1:32" x14ac:dyDescent="0.35">
      <c r="A12" s="9" t="s">
        <v>66</v>
      </c>
      <c r="B12">
        <f>(0.201+0.136)/2</f>
        <v>0.16850000000000001</v>
      </c>
      <c r="C12" s="10">
        <v>136020</v>
      </c>
      <c r="D12" s="10">
        <f t="shared" si="1"/>
        <v>88413</v>
      </c>
      <c r="E12" s="10"/>
      <c r="F12" s="10"/>
      <c r="G12" s="11">
        <v>3.5000000000000001E-3</v>
      </c>
      <c r="H12" s="12">
        <f t="shared" si="0"/>
        <v>309.44549999999998</v>
      </c>
      <c r="J12" t="s">
        <v>35</v>
      </c>
      <c r="K12" t="s">
        <v>174</v>
      </c>
      <c r="L12" s="95">
        <v>11</v>
      </c>
      <c r="N12">
        <v>2023</v>
      </c>
      <c r="O12" s="1">
        <v>7.0000000000000007E-2</v>
      </c>
      <c r="P12" s="1">
        <f>O12/(N12-$J$1)</f>
        <v>7.0000000000000007E-2</v>
      </c>
      <c r="Q12" s="40">
        <f>L12*(1+P12)</f>
        <v>11.770000000000001</v>
      </c>
      <c r="R12" t="s">
        <v>211</v>
      </c>
    </row>
    <row r="13" spans="1:32" x14ac:dyDescent="0.35">
      <c r="A13" s="9" t="s">
        <v>67</v>
      </c>
      <c r="B13">
        <v>0.19</v>
      </c>
      <c r="C13" s="10">
        <v>43675</v>
      </c>
      <c r="D13" s="10">
        <f t="shared" si="1"/>
        <v>28388.75</v>
      </c>
      <c r="E13" s="10"/>
      <c r="F13" s="10"/>
      <c r="G13" s="11">
        <v>4.0000000000000001E-3</v>
      </c>
      <c r="H13" s="12">
        <f t="shared" si="0"/>
        <v>113.55500000000001</v>
      </c>
      <c r="J13" t="s">
        <v>44</v>
      </c>
      <c r="L13">
        <v>14.93</v>
      </c>
      <c r="M13">
        <v>25.21</v>
      </c>
      <c r="N13">
        <v>2028</v>
      </c>
      <c r="O13" s="1">
        <f>(M13-L13)/L13</f>
        <v>0.68854655056932357</v>
      </c>
      <c r="P13" s="1">
        <f>O13/(N13-$J$1)</f>
        <v>0.1147577584282206</v>
      </c>
      <c r="Q13" s="40">
        <f>L13*(1+P13)</f>
        <v>16.643333333333334</v>
      </c>
      <c r="R13" t="s">
        <v>175</v>
      </c>
    </row>
    <row r="14" spans="1:32" x14ac:dyDescent="0.35">
      <c r="A14" s="9" t="s">
        <v>68</v>
      </c>
      <c r="C14" s="10">
        <v>15571</v>
      </c>
      <c r="D14" s="10">
        <f t="shared" si="1"/>
        <v>10121.15</v>
      </c>
      <c r="E14" s="10"/>
      <c r="F14" s="10"/>
      <c r="G14" s="11">
        <v>1E-3</v>
      </c>
      <c r="H14" s="12">
        <f t="shared" si="0"/>
        <v>10.12115</v>
      </c>
      <c r="P14" s="1"/>
      <c r="Q14" s="40"/>
    </row>
    <row r="15" spans="1:32" x14ac:dyDescent="0.35">
      <c r="A15" s="9" t="s">
        <v>69</v>
      </c>
      <c r="B15">
        <f>(0.284+0.249)/2</f>
        <v>0.26649999999999996</v>
      </c>
      <c r="C15" s="10">
        <v>75800</v>
      </c>
      <c r="D15" s="10">
        <f t="shared" si="1"/>
        <v>49270</v>
      </c>
      <c r="E15" s="10"/>
      <c r="F15" s="10"/>
      <c r="G15" s="11">
        <v>5.0000000000000001E-3</v>
      </c>
      <c r="H15" s="12">
        <f t="shared" si="0"/>
        <v>246.35</v>
      </c>
      <c r="J15" t="s">
        <v>180</v>
      </c>
      <c r="K15" t="s">
        <v>179</v>
      </c>
      <c r="L15" s="95">
        <v>380</v>
      </c>
      <c r="M15">
        <v>15000</v>
      </c>
      <c r="N15">
        <v>2035</v>
      </c>
      <c r="O15" s="1">
        <f>(M15-L15)/L15</f>
        <v>38.473684210526315</v>
      </c>
      <c r="P15" s="1">
        <f>O15/(N15-$J$1)</f>
        <v>2.9595141700404857</v>
      </c>
      <c r="Q15" s="40">
        <f>L15*(1+P15)</f>
        <v>1504.6153846153845</v>
      </c>
    </row>
    <row r="16" spans="1:32" x14ac:dyDescent="0.35">
      <c r="A16" s="9" t="s">
        <v>70</v>
      </c>
      <c r="B16">
        <f>(0.208+0.135)/2</f>
        <v>0.17149999999999999</v>
      </c>
      <c r="C16" s="10">
        <v>42833</v>
      </c>
      <c r="D16" s="10">
        <f t="shared" si="1"/>
        <v>27841.45</v>
      </c>
      <c r="E16" s="10"/>
      <c r="F16" s="10"/>
      <c r="G16" s="11">
        <v>5.0000000000000001E-3</v>
      </c>
      <c r="H16" s="12">
        <f t="shared" si="0"/>
        <v>139.20725000000002</v>
      </c>
      <c r="J16" t="s">
        <v>181</v>
      </c>
      <c r="L16" s="95">
        <v>0.28499999999999998</v>
      </c>
      <c r="M16">
        <v>9.9</v>
      </c>
      <c r="N16">
        <v>2025</v>
      </c>
      <c r="O16" s="1">
        <f>(M16-L16)/L16</f>
        <v>33.736842105263165</v>
      </c>
      <c r="P16" s="1">
        <f>O16/(N16-$J$1)</f>
        <v>11.245614035087721</v>
      </c>
      <c r="Q16" s="40">
        <f>L16*(1+P16)</f>
        <v>3.49</v>
      </c>
    </row>
    <row r="17" spans="1:18" x14ac:dyDescent="0.35">
      <c r="A17" s="9" t="s">
        <v>71</v>
      </c>
      <c r="C17" s="10">
        <v>37732</v>
      </c>
      <c r="D17" s="10">
        <f t="shared" si="1"/>
        <v>24525.8</v>
      </c>
      <c r="E17" s="10"/>
      <c r="F17" s="10"/>
      <c r="G17" s="11">
        <v>2.5000000000000001E-3</v>
      </c>
      <c r="H17" s="12">
        <f t="shared" si="0"/>
        <v>61.314500000000002</v>
      </c>
      <c r="J17" t="s">
        <v>182</v>
      </c>
      <c r="L17" s="95">
        <v>40</v>
      </c>
      <c r="O17" s="1">
        <f>(M17-L17)/L17</f>
        <v>-1</v>
      </c>
      <c r="P17" s="1">
        <f>O17/(N17-$J$1)</f>
        <v>4.9455984174085062E-4</v>
      </c>
      <c r="Q17" s="40">
        <f>L17*(1+P17)</f>
        <v>40.019782393669637</v>
      </c>
    </row>
    <row r="18" spans="1:18" x14ac:dyDescent="0.35">
      <c r="A18" s="9" t="s">
        <v>72</v>
      </c>
      <c r="C18" s="10">
        <v>17500</v>
      </c>
      <c r="D18" s="10">
        <f t="shared" si="1"/>
        <v>11375</v>
      </c>
      <c r="E18" s="10"/>
      <c r="F18" s="10"/>
      <c r="G18" s="11">
        <v>5.0000000000000001E-3</v>
      </c>
      <c r="H18" s="12">
        <f t="shared" si="0"/>
        <v>56.875</v>
      </c>
      <c r="P18" s="1"/>
      <c r="Q18" s="40"/>
    </row>
    <row r="19" spans="1:18" x14ac:dyDescent="0.35">
      <c r="A19" s="9" t="s">
        <v>73</v>
      </c>
      <c r="C19" s="10">
        <v>14368</v>
      </c>
      <c r="D19" s="10">
        <f t="shared" si="1"/>
        <v>9339.2000000000007</v>
      </c>
      <c r="E19" s="10"/>
      <c r="F19" s="10"/>
      <c r="G19" s="11">
        <v>5.0000000000000001E-3</v>
      </c>
      <c r="H19" s="12">
        <f t="shared" si="0"/>
        <v>46.696000000000005</v>
      </c>
      <c r="J19" s="107" t="s">
        <v>212</v>
      </c>
      <c r="K19" s="102"/>
      <c r="L19" s="103">
        <v>174.9</v>
      </c>
      <c r="M19" s="102"/>
      <c r="N19" s="102"/>
      <c r="O19" s="104">
        <v>0.08</v>
      </c>
      <c r="P19" s="104">
        <v>0.08</v>
      </c>
      <c r="Q19" s="105">
        <f>L19*(1+P19)</f>
        <v>188.89200000000002</v>
      </c>
    </row>
    <row r="20" spans="1:18" x14ac:dyDescent="0.35">
      <c r="A20" s="118" t="s">
        <v>74</v>
      </c>
      <c r="B20" s="121"/>
      <c r="C20" s="119"/>
      <c r="D20" s="119">
        <f>SUM(D9:D19)</f>
        <v>535108.6</v>
      </c>
      <c r="E20" s="119"/>
      <c r="F20" s="119"/>
      <c r="G20" s="120">
        <f>AVERAGE(G4:G19)</f>
        <v>4.0937500000000002E-3</v>
      </c>
      <c r="H20" s="205">
        <f>SUM(H4:H19)</f>
        <v>7310.3985500000008</v>
      </c>
      <c r="J20" t="s">
        <v>108</v>
      </c>
      <c r="L20" s="95">
        <v>275</v>
      </c>
      <c r="M20">
        <v>1200</v>
      </c>
      <c r="N20">
        <v>2026</v>
      </c>
      <c r="O20" s="1">
        <f>(M20-L20)/L20</f>
        <v>3.3636363636363638</v>
      </c>
      <c r="P20" s="1">
        <f>O20/(N20-$J$1)</f>
        <v>0.84090909090909094</v>
      </c>
      <c r="Q20" s="40">
        <f>L20*(1+P20)</f>
        <v>506.25</v>
      </c>
    </row>
    <row r="21" spans="1:18" x14ac:dyDescent="0.35">
      <c r="A21" s="9" t="s">
        <v>75</v>
      </c>
      <c r="B21">
        <f>(9.4+14)/2</f>
        <v>11.7</v>
      </c>
      <c r="C21" s="10">
        <v>95900</v>
      </c>
      <c r="D21" s="10">
        <f>C21*$AE$3</f>
        <v>62335</v>
      </c>
      <c r="E21" s="10"/>
      <c r="F21" s="10"/>
      <c r="G21" s="11">
        <v>5.0000000000000001E-3</v>
      </c>
      <c r="H21" s="12">
        <f>G21*D21</f>
        <v>311.67500000000001</v>
      </c>
      <c r="J21" t="s">
        <v>129</v>
      </c>
      <c r="L21" s="95">
        <v>75</v>
      </c>
      <c r="M21">
        <v>100</v>
      </c>
      <c r="N21">
        <v>2030</v>
      </c>
      <c r="O21" s="1">
        <f>(M21-L21)/L21</f>
        <v>0.33333333333333331</v>
      </c>
      <c r="P21" s="1">
        <f>O21/(N21-$J$1)</f>
        <v>4.1666666666666664E-2</v>
      </c>
      <c r="Q21" s="40">
        <f>L21*(1+P21)</f>
        <v>78.125</v>
      </c>
      <c r="R21" t="s">
        <v>213</v>
      </c>
    </row>
    <row r="22" spans="1:18" x14ac:dyDescent="0.35">
      <c r="A22" s="9" t="s">
        <v>76</v>
      </c>
      <c r="B22">
        <f>(0.081+0.1)/2</f>
        <v>9.0499999999999997E-2</v>
      </c>
      <c r="C22" s="10">
        <v>27000</v>
      </c>
      <c r="D22" s="10">
        <f>C22*$AE$3</f>
        <v>17550</v>
      </c>
      <c r="E22" s="10"/>
      <c r="F22" s="10"/>
      <c r="G22" s="11">
        <v>0.01</v>
      </c>
      <c r="H22" s="12">
        <f>G22*D22</f>
        <v>175.5</v>
      </c>
      <c r="J22" t="s">
        <v>109</v>
      </c>
      <c r="L22" s="95">
        <v>55</v>
      </c>
      <c r="M22">
        <v>450</v>
      </c>
      <c r="N22">
        <v>2030</v>
      </c>
      <c r="O22" s="1">
        <f>(M22-L22)/L22</f>
        <v>7.1818181818181817</v>
      </c>
      <c r="P22" s="1">
        <f>O22/(N22-$J$1)</f>
        <v>0.89772727272727271</v>
      </c>
      <c r="Q22" s="40">
        <f>L22*(1+P22)</f>
        <v>104.375</v>
      </c>
    </row>
    <row r="23" spans="1:18" x14ac:dyDescent="0.35">
      <c r="A23" s="9" t="s">
        <v>77</v>
      </c>
      <c r="B23">
        <f>0.6414*1.41044</f>
        <v>0.9046562159999999</v>
      </c>
      <c r="C23" s="10">
        <v>3366</v>
      </c>
      <c r="D23" s="10">
        <f>C23*$AE$3</f>
        <v>2187.9</v>
      </c>
      <c r="E23" s="10"/>
      <c r="F23" s="10"/>
      <c r="G23" s="11">
        <v>0.01</v>
      </c>
      <c r="H23" s="206">
        <f>G23*D23</f>
        <v>21.879000000000001</v>
      </c>
      <c r="J23" t="s">
        <v>118</v>
      </c>
      <c r="L23" s="95">
        <v>0.29099999999999998</v>
      </c>
      <c r="O23" s="1">
        <f>(M23-L23)/L23</f>
        <v>-1</v>
      </c>
      <c r="P23" s="1">
        <f>O23/(N23-$J$1)</f>
        <v>4.9455984174085062E-4</v>
      </c>
      <c r="Q23" s="40">
        <f>L23*(1+P23)</f>
        <v>0.29114391691394659</v>
      </c>
    </row>
    <row r="24" spans="1:18" x14ac:dyDescent="0.35">
      <c r="A24" s="17" t="s">
        <v>207</v>
      </c>
      <c r="B24" s="101"/>
      <c r="C24" s="207">
        <f>SUM(C21:C23)</f>
        <v>126266</v>
      </c>
      <c r="D24" s="18">
        <f>SUM(D21:D23)</f>
        <v>82072.899999999994</v>
      </c>
      <c r="E24" s="18"/>
      <c r="F24" s="18"/>
      <c r="G24" s="19">
        <f>SUM(G21:G23)/3</f>
        <v>8.3333333333333332E-3</v>
      </c>
      <c r="H24" s="208">
        <f>G24*D24</f>
        <v>683.94083333333333</v>
      </c>
    </row>
    <row r="25" spans="1:18" x14ac:dyDescent="0.35">
      <c r="A25" s="9" t="s">
        <v>209</v>
      </c>
      <c r="C25" s="10">
        <v>51700</v>
      </c>
      <c r="D25" s="10">
        <f>C25*$AE$3</f>
        <v>33605</v>
      </c>
      <c r="E25" s="10"/>
      <c r="F25" s="10"/>
      <c r="G25" s="11">
        <v>0.05</v>
      </c>
      <c r="H25" s="206">
        <f>G25*D25</f>
        <v>1680.25</v>
      </c>
    </row>
    <row r="26" spans="1:18" x14ac:dyDescent="0.35">
      <c r="A26" s="6" t="s">
        <v>35</v>
      </c>
      <c r="C26" s="99"/>
      <c r="D26" s="7"/>
      <c r="E26" s="7"/>
      <c r="F26" s="7"/>
      <c r="G26" s="8"/>
      <c r="H26" s="209"/>
    </row>
    <row r="27" spans="1:18" x14ac:dyDescent="0.35">
      <c r="A27" s="9"/>
      <c r="B27">
        <f>(0.048+0.063)/2*100</f>
        <v>5.55</v>
      </c>
      <c r="D27" s="10"/>
      <c r="E27" s="10">
        <f>344+25+11.4</f>
        <v>380.4</v>
      </c>
      <c r="F27" s="10"/>
      <c r="G27" s="11"/>
      <c r="H27" s="12"/>
      <c r="P27" s="1"/>
      <c r="Q27" s="40"/>
    </row>
    <row r="28" spans="1:18" x14ac:dyDescent="0.35">
      <c r="A28" s="9" t="s">
        <v>181</v>
      </c>
      <c r="B28">
        <f>0.009*100</f>
        <v>0.89999999999999991</v>
      </c>
      <c r="D28" s="10"/>
      <c r="E28" s="10">
        <v>285</v>
      </c>
      <c r="F28" s="10"/>
      <c r="G28" s="11"/>
      <c r="H28" s="12"/>
      <c r="P28" s="1"/>
      <c r="Q28" s="40"/>
    </row>
    <row r="29" spans="1:18" x14ac:dyDescent="0.35">
      <c r="A29" s="9" t="s">
        <v>182</v>
      </c>
      <c r="B29">
        <f>100*0.0147</f>
        <v>1.47</v>
      </c>
      <c r="D29" s="10"/>
      <c r="E29" s="10">
        <v>40</v>
      </c>
      <c r="F29" s="10"/>
      <c r="G29" s="11"/>
      <c r="H29" s="12"/>
      <c r="P29" s="1"/>
      <c r="Q29" s="40"/>
    </row>
    <row r="30" spans="1:18" x14ac:dyDescent="0.35">
      <c r="A30" s="9" t="s">
        <v>51</v>
      </c>
      <c r="B30">
        <v>11</v>
      </c>
      <c r="C30" s="10">
        <v>993</v>
      </c>
      <c r="D30" s="10">
        <f>C30*$AE$3</f>
        <v>645.45000000000005</v>
      </c>
      <c r="E30" s="10">
        <v>20</v>
      </c>
      <c r="F30" s="10"/>
      <c r="G30" s="11">
        <v>1E-3</v>
      </c>
      <c r="H30" s="12">
        <f>G30*D30</f>
        <v>0.64545000000000008</v>
      </c>
      <c r="P30" s="1"/>
      <c r="Q30" s="40"/>
    </row>
    <row r="31" spans="1:18" x14ac:dyDescent="0.35">
      <c r="A31" s="9" t="s">
        <v>183</v>
      </c>
      <c r="B31">
        <v>15</v>
      </c>
      <c r="C31" s="10"/>
      <c r="D31" s="10"/>
      <c r="E31" s="10">
        <v>89</v>
      </c>
      <c r="F31" s="10"/>
      <c r="G31" s="11"/>
      <c r="H31" s="12"/>
      <c r="P31" s="1"/>
      <c r="Q31" s="40"/>
    </row>
    <row r="32" spans="1:18" x14ac:dyDescent="0.35">
      <c r="A32" s="9" t="s">
        <v>185</v>
      </c>
      <c r="B32">
        <v>15</v>
      </c>
      <c r="D32" s="10"/>
      <c r="E32" s="10"/>
      <c r="F32" s="10">
        <v>8</v>
      </c>
      <c r="G32" s="11"/>
      <c r="H32" s="12"/>
      <c r="P32" s="1"/>
      <c r="Q32" s="40"/>
    </row>
    <row r="33" spans="1:17" x14ac:dyDescent="0.35">
      <c r="A33" s="9" t="s">
        <v>53</v>
      </c>
      <c r="B33">
        <v>9</v>
      </c>
      <c r="C33" s="10">
        <v>1432</v>
      </c>
      <c r="D33" s="10">
        <f>C33*$AE$3</f>
        <v>930.80000000000007</v>
      </c>
      <c r="E33" s="10">
        <v>26</v>
      </c>
      <c r="F33" s="10"/>
      <c r="G33" s="11">
        <v>1E-4</v>
      </c>
      <c r="H33" s="12">
        <f>G33*D33</f>
        <v>9.308000000000001E-2</v>
      </c>
      <c r="P33" s="1"/>
      <c r="Q33" s="40"/>
    </row>
    <row r="34" spans="1:17" x14ac:dyDescent="0.35">
      <c r="A34" s="9" t="s">
        <v>186</v>
      </c>
      <c r="B34">
        <v>3</v>
      </c>
      <c r="D34" s="10"/>
      <c r="E34" s="10">
        <v>34</v>
      </c>
      <c r="G34" s="11"/>
      <c r="H34" s="12"/>
      <c r="P34" s="1"/>
      <c r="Q34" s="40"/>
    </row>
    <row r="35" spans="1:17" x14ac:dyDescent="0.35">
      <c r="A35" s="9" t="s">
        <v>187</v>
      </c>
      <c r="B35">
        <v>5</v>
      </c>
      <c r="D35" s="10"/>
      <c r="E35" s="10">
        <v>15</v>
      </c>
      <c r="G35" s="11"/>
      <c r="H35" s="12"/>
      <c r="P35" s="1"/>
      <c r="Q35" s="40"/>
    </row>
    <row r="36" spans="1:17" x14ac:dyDescent="0.35">
      <c r="A36" s="9" t="s">
        <v>188</v>
      </c>
      <c r="B36">
        <v>16</v>
      </c>
      <c r="D36" s="10"/>
      <c r="E36" s="10"/>
      <c r="F36">
        <v>1</v>
      </c>
      <c r="G36" s="11"/>
      <c r="H36" s="12"/>
      <c r="P36" s="1"/>
      <c r="Q36" s="40"/>
    </row>
    <row r="37" spans="1:17" x14ac:dyDescent="0.35">
      <c r="A37" s="9" t="s">
        <v>189</v>
      </c>
      <c r="B37">
        <v>24</v>
      </c>
      <c r="D37" s="10"/>
      <c r="E37" s="10"/>
      <c r="F37">
        <v>4.24</v>
      </c>
      <c r="G37" s="11"/>
      <c r="H37" s="12"/>
      <c r="P37" s="1"/>
      <c r="Q37" s="40"/>
    </row>
    <row r="38" spans="1:17" x14ac:dyDescent="0.35">
      <c r="A38" s="97" t="s">
        <v>190</v>
      </c>
      <c r="B38">
        <v>8</v>
      </c>
      <c r="D38" s="10"/>
      <c r="E38" s="10"/>
      <c r="F38">
        <v>6</v>
      </c>
      <c r="G38" s="11"/>
      <c r="H38" s="12"/>
      <c r="P38" s="1"/>
      <c r="Q38" s="40"/>
    </row>
    <row r="39" spans="1:17" x14ac:dyDescent="0.35">
      <c r="A39" s="97" t="s">
        <v>192</v>
      </c>
      <c r="B39">
        <v>20</v>
      </c>
      <c r="D39" s="10"/>
      <c r="E39" s="10"/>
      <c r="F39" s="10">
        <v>0</v>
      </c>
      <c r="G39" s="11"/>
      <c r="H39" s="12"/>
      <c r="P39" s="1"/>
      <c r="Q39" s="40"/>
    </row>
    <row r="40" spans="1:17" x14ac:dyDescent="0.35">
      <c r="A40" s="9" t="s">
        <v>54</v>
      </c>
      <c r="B40">
        <v>8</v>
      </c>
      <c r="C40" s="10">
        <v>2844</v>
      </c>
      <c r="D40" s="10">
        <f>C40*$AE$3</f>
        <v>1848.6000000000001</v>
      </c>
      <c r="E40" s="10"/>
      <c r="F40" s="10"/>
      <c r="G40" s="11">
        <v>4.0000000000000002E-4</v>
      </c>
      <c r="H40" s="12">
        <f>G40*D40</f>
        <v>0.7394400000000001</v>
      </c>
      <c r="P40" s="1"/>
      <c r="Q40" s="40"/>
    </row>
    <row r="41" spans="1:17" x14ac:dyDescent="0.35">
      <c r="A41" s="97" t="s">
        <v>191</v>
      </c>
      <c r="B41">
        <v>6.5</v>
      </c>
      <c r="D41" s="10"/>
      <c r="E41" s="10"/>
      <c r="F41">
        <v>12</v>
      </c>
      <c r="G41" s="11"/>
      <c r="H41" s="12"/>
      <c r="P41" s="1"/>
      <c r="Q41" s="40"/>
    </row>
    <row r="42" spans="1:17" x14ac:dyDescent="0.35">
      <c r="A42" s="9" t="s">
        <v>55</v>
      </c>
      <c r="B42">
        <v>5</v>
      </c>
      <c r="C42" s="10">
        <v>55000</v>
      </c>
      <c r="D42" s="10">
        <f t="shared" ref="D42:D48" si="2">C42*$AE$3</f>
        <v>35750</v>
      </c>
      <c r="E42" s="10">
        <v>2240</v>
      </c>
      <c r="F42" s="10"/>
      <c r="G42" s="11">
        <v>0.02</v>
      </c>
      <c r="H42" s="12">
        <f t="shared" ref="H42:H48" si="3">G42*D42</f>
        <v>715</v>
      </c>
      <c r="P42" s="1"/>
      <c r="Q42" s="40"/>
    </row>
    <row r="43" spans="1:17" x14ac:dyDescent="0.35">
      <c r="A43" s="9" t="s">
        <v>49</v>
      </c>
      <c r="B43" s="210">
        <v>10</v>
      </c>
      <c r="C43" s="10">
        <v>103</v>
      </c>
      <c r="D43" s="10">
        <f t="shared" si="2"/>
        <v>66.95</v>
      </c>
      <c r="E43" s="10"/>
      <c r="F43" s="10"/>
      <c r="G43" s="11">
        <v>1E-3</v>
      </c>
      <c r="H43" s="12">
        <f t="shared" si="3"/>
        <v>6.695000000000001E-2</v>
      </c>
      <c r="P43" s="1"/>
      <c r="Q43" s="40"/>
    </row>
    <row r="44" spans="1:17" x14ac:dyDescent="0.35">
      <c r="A44" s="9" t="s">
        <v>38</v>
      </c>
      <c r="B44">
        <v>22</v>
      </c>
      <c r="C44" s="10">
        <v>750</v>
      </c>
      <c r="D44" s="10">
        <f t="shared" si="2"/>
        <v>487.5</v>
      </c>
      <c r="E44" s="10"/>
      <c r="F44" s="10"/>
      <c r="G44" s="11">
        <v>0.02</v>
      </c>
      <c r="H44" s="12">
        <f t="shared" si="3"/>
        <v>9.75</v>
      </c>
      <c r="P44" s="1"/>
      <c r="Q44" s="40"/>
    </row>
    <row r="45" spans="1:17" x14ac:dyDescent="0.35">
      <c r="A45" s="9" t="s">
        <v>40</v>
      </c>
      <c r="B45">
        <v>6</v>
      </c>
      <c r="C45" s="10">
        <v>5134</v>
      </c>
      <c r="D45" s="10">
        <f t="shared" si="2"/>
        <v>3337.1</v>
      </c>
      <c r="E45" s="10">
        <v>175</v>
      </c>
      <c r="F45" s="10"/>
      <c r="G45" s="11">
        <v>2.5000000000000001E-3</v>
      </c>
      <c r="H45" s="12">
        <f t="shared" si="3"/>
        <v>8.3427500000000006</v>
      </c>
      <c r="P45" s="1"/>
      <c r="Q45" s="40"/>
    </row>
    <row r="46" spans="1:17" x14ac:dyDescent="0.35">
      <c r="A46" s="9" t="s">
        <v>47</v>
      </c>
      <c r="B46">
        <v>13</v>
      </c>
      <c r="C46" s="10">
        <v>2105</v>
      </c>
      <c r="D46" s="10">
        <f t="shared" si="2"/>
        <v>1368.25</v>
      </c>
      <c r="E46" s="10"/>
      <c r="F46" s="10"/>
      <c r="G46" s="11">
        <v>0.01</v>
      </c>
      <c r="H46" s="12">
        <f t="shared" si="3"/>
        <v>13.682500000000001</v>
      </c>
      <c r="P46" s="1"/>
      <c r="Q46" s="40"/>
    </row>
    <row r="47" spans="1:17" x14ac:dyDescent="0.35">
      <c r="A47" s="9" t="s">
        <v>37</v>
      </c>
      <c r="B47">
        <v>22</v>
      </c>
      <c r="C47" s="10">
        <v>2840</v>
      </c>
      <c r="D47" s="10">
        <f t="shared" si="2"/>
        <v>1846</v>
      </c>
      <c r="E47" s="10">
        <v>315</v>
      </c>
      <c r="F47" s="10"/>
      <c r="G47" s="11">
        <v>5.0000000000000001E-3</v>
      </c>
      <c r="H47" s="12">
        <f t="shared" si="3"/>
        <v>9.23</v>
      </c>
      <c r="P47" s="1"/>
      <c r="Q47" s="40"/>
    </row>
    <row r="48" spans="1:17" x14ac:dyDescent="0.35">
      <c r="A48" s="9" t="s">
        <v>52</v>
      </c>
      <c r="B48">
        <v>10</v>
      </c>
      <c r="C48" s="10">
        <v>77</v>
      </c>
      <c r="D48" s="10">
        <f t="shared" si="2"/>
        <v>50.050000000000004</v>
      </c>
      <c r="E48" s="10"/>
      <c r="F48" s="10"/>
      <c r="G48" s="11">
        <v>0</v>
      </c>
      <c r="H48" s="12">
        <f t="shared" si="3"/>
        <v>0</v>
      </c>
      <c r="P48" s="1"/>
      <c r="Q48" s="40"/>
    </row>
    <row r="49" spans="1:18" x14ac:dyDescent="0.35">
      <c r="A49" s="97" t="s">
        <v>195</v>
      </c>
      <c r="B49">
        <f>(28.6+33)/2</f>
        <v>30.8</v>
      </c>
      <c r="D49" s="10"/>
      <c r="E49" s="10">
        <v>66</v>
      </c>
      <c r="F49" s="10"/>
      <c r="G49" s="11"/>
      <c r="H49" s="12"/>
      <c r="P49" s="1"/>
      <c r="Q49" s="40"/>
    </row>
    <row r="50" spans="1:18" x14ac:dyDescent="0.35">
      <c r="A50" s="9" t="s">
        <v>48</v>
      </c>
      <c r="B50">
        <v>12</v>
      </c>
      <c r="C50" s="10">
        <v>532</v>
      </c>
      <c r="D50" s="10">
        <f>C50*$AE$3</f>
        <v>345.8</v>
      </c>
      <c r="E50" s="10">
        <v>107</v>
      </c>
      <c r="F50" s="10"/>
      <c r="G50" s="11">
        <v>0.02</v>
      </c>
      <c r="H50" s="12">
        <f>G50*D50</f>
        <v>6.9160000000000004</v>
      </c>
      <c r="P50" s="1"/>
      <c r="Q50" s="40"/>
    </row>
    <row r="51" spans="1:18" x14ac:dyDescent="0.35">
      <c r="A51" s="97" t="s">
        <v>196</v>
      </c>
      <c r="B51">
        <v>15</v>
      </c>
      <c r="D51" s="10"/>
      <c r="E51" s="10">
        <v>105</v>
      </c>
      <c r="F51" s="10"/>
      <c r="G51" s="11"/>
      <c r="H51" s="12"/>
      <c r="P51" s="1"/>
      <c r="Q51" s="40"/>
    </row>
    <row r="52" spans="1:18" x14ac:dyDescent="0.35">
      <c r="A52" s="9" t="s">
        <v>56</v>
      </c>
      <c r="B52">
        <f>(1.09+1.2)/2</f>
        <v>1.145</v>
      </c>
      <c r="C52" s="10">
        <v>10600</v>
      </c>
      <c r="D52" s="10">
        <f>C52*$AE$3</f>
        <v>6890</v>
      </c>
      <c r="E52" s="10">
        <v>950</v>
      </c>
      <c r="F52" s="10"/>
      <c r="G52" s="11">
        <v>5.0000000000000001E-3</v>
      </c>
      <c r="H52" s="206">
        <f>G52*D52*1000</f>
        <v>34450</v>
      </c>
      <c r="P52" s="1"/>
      <c r="Q52" s="40"/>
    </row>
    <row r="53" spans="1:18" x14ac:dyDescent="0.35">
      <c r="A53" s="9" t="s">
        <v>45</v>
      </c>
      <c r="B53">
        <v>11</v>
      </c>
      <c r="C53" s="10">
        <v>187000</v>
      </c>
      <c r="D53" s="10">
        <f>C53*$AE$3</f>
        <v>121550</v>
      </c>
      <c r="E53" s="10">
        <v>109</v>
      </c>
      <c r="F53" s="10"/>
      <c r="G53" s="11">
        <v>5.0000000000000001E-3</v>
      </c>
      <c r="H53" s="12">
        <f>G53*D53</f>
        <v>607.75</v>
      </c>
      <c r="P53" s="1"/>
      <c r="Q53" s="40"/>
    </row>
    <row r="54" spans="1:18" x14ac:dyDescent="0.35">
      <c r="A54" s="9" t="s">
        <v>46</v>
      </c>
      <c r="B54">
        <v>16</v>
      </c>
      <c r="C54" s="10">
        <v>680</v>
      </c>
      <c r="D54" s="10">
        <f>C54*$AE$3</f>
        <v>442</v>
      </c>
      <c r="E54" s="10">
        <v>290</v>
      </c>
      <c r="F54" s="10"/>
      <c r="G54" s="11">
        <v>0.02</v>
      </c>
      <c r="H54" s="12">
        <f>G54*D54</f>
        <v>8.84</v>
      </c>
      <c r="P54" s="1"/>
      <c r="Q54" s="40"/>
    </row>
    <row r="55" spans="1:18" x14ac:dyDescent="0.35">
      <c r="A55" s="97" t="s">
        <v>197</v>
      </c>
      <c r="D55" s="10"/>
      <c r="E55" s="10">
        <v>130</v>
      </c>
      <c r="F55" s="10"/>
      <c r="G55" s="11"/>
      <c r="H55" s="12"/>
      <c r="P55" s="1"/>
      <c r="Q55" s="40"/>
    </row>
    <row r="56" spans="1:18" x14ac:dyDescent="0.35">
      <c r="A56" s="9" t="s">
        <v>36</v>
      </c>
      <c r="B56">
        <v>25.2</v>
      </c>
      <c r="C56" s="10">
        <v>216</v>
      </c>
      <c r="D56" s="10">
        <f t="shared" ref="D56:D63" si="4">C56*$AE$3</f>
        <v>140.4</v>
      </c>
      <c r="E56" s="10"/>
      <c r="F56" s="10"/>
      <c r="G56" s="11">
        <v>0.01</v>
      </c>
      <c r="H56" s="12">
        <f t="shared" ref="H56:H63" si="5">G56*D56</f>
        <v>1.4040000000000001</v>
      </c>
      <c r="P56" s="1"/>
      <c r="Q56" s="40"/>
    </row>
    <row r="57" spans="1:18" x14ac:dyDescent="0.35">
      <c r="A57" s="9" t="s">
        <v>42</v>
      </c>
      <c r="B57">
        <v>18</v>
      </c>
      <c r="C57" s="10">
        <v>1200</v>
      </c>
      <c r="D57" s="10">
        <f t="shared" si="4"/>
        <v>780</v>
      </c>
      <c r="E57" s="10">
        <v>230</v>
      </c>
      <c r="F57" s="10"/>
      <c r="G57" s="11">
        <v>8.0000000000000002E-3</v>
      </c>
      <c r="H57" s="12">
        <f t="shared" si="5"/>
        <v>6.24</v>
      </c>
      <c r="P57" s="1"/>
      <c r="Q57" s="40"/>
    </row>
    <row r="58" spans="1:18" x14ac:dyDescent="0.35">
      <c r="A58" s="9" t="s">
        <v>43</v>
      </c>
      <c r="B58">
        <v>15</v>
      </c>
      <c r="C58" s="10">
        <v>100</v>
      </c>
      <c r="D58" s="10">
        <f t="shared" si="4"/>
        <v>65</v>
      </c>
      <c r="E58" s="10"/>
      <c r="F58" s="10"/>
      <c r="G58" s="11">
        <v>0</v>
      </c>
      <c r="H58" s="12">
        <f t="shared" si="5"/>
        <v>0</v>
      </c>
      <c r="P58" s="1"/>
      <c r="Q58" s="40"/>
    </row>
    <row r="59" spans="1:18" x14ac:dyDescent="0.35">
      <c r="A59" s="9" t="s">
        <v>44</v>
      </c>
      <c r="B59">
        <v>14</v>
      </c>
      <c r="C59" s="10">
        <v>58000</v>
      </c>
      <c r="D59" s="10">
        <f t="shared" si="4"/>
        <v>37700</v>
      </c>
      <c r="E59" s="10">
        <v>3770</v>
      </c>
      <c r="F59" s="10"/>
      <c r="G59" s="11">
        <v>0.02</v>
      </c>
      <c r="H59" s="12">
        <f t="shared" si="5"/>
        <v>754</v>
      </c>
      <c r="P59" s="1"/>
      <c r="Q59" s="40"/>
    </row>
    <row r="60" spans="1:18" x14ac:dyDescent="0.35">
      <c r="A60" s="9" t="s">
        <v>50</v>
      </c>
      <c r="B60">
        <v>10</v>
      </c>
      <c r="C60" s="10">
        <v>1764</v>
      </c>
      <c r="D60" s="10">
        <f t="shared" si="4"/>
        <v>1146.6000000000001</v>
      </c>
      <c r="E60" s="10">
        <v>18</v>
      </c>
      <c r="F60" s="10"/>
      <c r="G60" s="11">
        <v>2.5000000000000001E-3</v>
      </c>
      <c r="H60" s="12">
        <f t="shared" si="5"/>
        <v>2.8665000000000003</v>
      </c>
      <c r="J60" s="31"/>
      <c r="K60" s="31"/>
      <c r="L60" s="96"/>
      <c r="M60" s="31"/>
      <c r="N60" s="31"/>
      <c r="P60" s="1"/>
      <c r="Q60" s="40"/>
      <c r="R60" s="31"/>
    </row>
    <row r="61" spans="1:18" x14ac:dyDescent="0.35">
      <c r="A61" s="9" t="s">
        <v>39</v>
      </c>
      <c r="B61">
        <v>20</v>
      </c>
      <c r="C61" s="10">
        <v>262</v>
      </c>
      <c r="D61" s="10">
        <f t="shared" si="4"/>
        <v>170.3</v>
      </c>
      <c r="E61" s="10">
        <v>59</v>
      </c>
      <c r="F61" s="10"/>
      <c r="G61" s="11">
        <v>2.5000000000000001E-3</v>
      </c>
      <c r="H61" s="12">
        <f t="shared" si="5"/>
        <v>0.42575000000000002</v>
      </c>
      <c r="P61" s="1"/>
      <c r="Q61" s="40"/>
    </row>
    <row r="62" spans="1:18" x14ac:dyDescent="0.35">
      <c r="A62" s="9" t="s">
        <v>57</v>
      </c>
      <c r="B62">
        <f>(0.106+0.073)/2*100</f>
        <v>8.9499999999999993</v>
      </c>
      <c r="C62" s="10">
        <v>1500</v>
      </c>
      <c r="D62" s="10">
        <f t="shared" si="4"/>
        <v>975</v>
      </c>
      <c r="F62" s="10"/>
      <c r="G62" s="11">
        <v>0.01</v>
      </c>
      <c r="H62" s="12">
        <f t="shared" si="5"/>
        <v>9.75</v>
      </c>
      <c r="P62" s="1"/>
      <c r="Q62" s="40"/>
    </row>
    <row r="63" spans="1:18" x14ac:dyDescent="0.35">
      <c r="A63" s="9" t="s">
        <v>41</v>
      </c>
      <c r="B63">
        <v>19</v>
      </c>
      <c r="C63" s="10">
        <v>850</v>
      </c>
      <c r="D63" s="10">
        <f t="shared" si="4"/>
        <v>552.5</v>
      </c>
      <c r="E63" s="10">
        <v>140</v>
      </c>
      <c r="F63" s="10"/>
      <c r="G63" s="11">
        <v>7.4999999999999997E-3</v>
      </c>
      <c r="H63" s="12">
        <f t="shared" si="5"/>
        <v>4.1437499999999998</v>
      </c>
      <c r="P63" s="1"/>
      <c r="Q63" s="40"/>
    </row>
    <row r="64" spans="1:18" x14ac:dyDescent="0.35">
      <c r="A64" s="97" t="s">
        <v>198</v>
      </c>
      <c r="B64">
        <v>3.5</v>
      </c>
      <c r="D64" s="10"/>
      <c r="E64" s="10">
        <v>217</v>
      </c>
      <c r="F64" s="10"/>
      <c r="G64" s="11"/>
      <c r="H64" s="12"/>
      <c r="P64" s="1"/>
      <c r="Q64" s="40"/>
    </row>
    <row r="65" spans="1:19" x14ac:dyDescent="0.35">
      <c r="A65" s="97" t="s">
        <v>199</v>
      </c>
      <c r="B65">
        <v>9</v>
      </c>
      <c r="D65" s="10"/>
      <c r="E65" s="10">
        <v>40</v>
      </c>
      <c r="F65" s="10"/>
      <c r="G65" s="11"/>
      <c r="H65" s="12"/>
      <c r="P65" s="1"/>
      <c r="Q65" s="40"/>
    </row>
    <row r="66" spans="1:19" x14ac:dyDescent="0.35">
      <c r="A66" s="13" t="s">
        <v>35</v>
      </c>
      <c r="B66" s="211"/>
      <c r="C66" s="14">
        <f>SUM(C27:C63)</f>
        <v>333982</v>
      </c>
      <c r="D66" s="15">
        <f>SUM(D27:D65)</f>
        <v>217088.3</v>
      </c>
      <c r="E66" s="15">
        <f>SUM(E27:E65)</f>
        <v>9850.4</v>
      </c>
      <c r="F66" s="15"/>
      <c r="G66" s="16">
        <f>AVERAGE(G27:G48)</f>
        <v>6.0000000000000001E-3</v>
      </c>
      <c r="H66" s="212">
        <f>SUM(H27:H48)</f>
        <v>757.55017000000009</v>
      </c>
      <c r="P66" s="1"/>
      <c r="Q66" s="40"/>
    </row>
    <row r="67" spans="1:19" s="31" customFormat="1" x14ac:dyDescent="0.35">
      <c r="A67" s="6" t="s">
        <v>117</v>
      </c>
      <c r="H67" s="68"/>
      <c r="I67" s="98"/>
      <c r="J67"/>
      <c r="K67"/>
      <c r="L67" s="95"/>
      <c r="M67"/>
      <c r="N67"/>
      <c r="O67" s="1"/>
      <c r="P67" s="1"/>
      <c r="Q67" s="40"/>
      <c r="R67"/>
      <c r="S67"/>
    </row>
    <row r="68" spans="1:19" x14ac:dyDescent="0.35">
      <c r="A68" s="9" t="s">
        <v>108</v>
      </c>
      <c r="C68" s="10">
        <f>AE6*1000</f>
        <v>985958.90410958906</v>
      </c>
      <c r="D68" s="100">
        <f>C68*$AF$3</f>
        <v>591575.34246575343</v>
      </c>
      <c r="E68" s="100">
        <f>Q20</f>
        <v>506.25</v>
      </c>
      <c r="F68" s="100"/>
      <c r="H68" s="12"/>
      <c r="P68" s="1"/>
      <c r="Q68" s="40"/>
    </row>
    <row r="69" spans="1:19" x14ac:dyDescent="0.35">
      <c r="A69" s="9" t="s">
        <v>109</v>
      </c>
      <c r="C69" s="10">
        <f>AE8*1000</f>
        <v>210000</v>
      </c>
      <c r="D69" s="100">
        <f>C69*$AF$3</f>
        <v>126000</v>
      </c>
      <c r="E69" s="100">
        <f>Q22</f>
        <v>104.375</v>
      </c>
      <c r="F69" s="100"/>
      <c r="H69" s="12"/>
      <c r="P69" s="1"/>
      <c r="Q69" s="40"/>
      <c r="S69" s="31"/>
    </row>
    <row r="70" spans="1:19" x14ac:dyDescent="0.35">
      <c r="A70" s="9" t="s">
        <v>118</v>
      </c>
      <c r="C70" s="10">
        <v>80000</v>
      </c>
      <c r="D70" s="10">
        <f t="shared" ref="D70:D77" si="6">C70*$AE$3</f>
        <v>52000</v>
      </c>
      <c r="E70" s="10">
        <v>291</v>
      </c>
      <c r="F70" s="10"/>
      <c r="H70" s="12"/>
      <c r="P70" s="1"/>
      <c r="Q70" s="40"/>
    </row>
    <row r="71" spans="1:19" x14ac:dyDescent="0.35">
      <c r="A71" s="9" t="s">
        <v>122</v>
      </c>
      <c r="C71" s="10">
        <f>Conversions!O3*1000</f>
        <v>13851.753259755711</v>
      </c>
      <c r="D71" s="10">
        <f t="shared" si="6"/>
        <v>9003.6396188412127</v>
      </c>
      <c r="E71" s="10"/>
      <c r="F71" s="10"/>
      <c r="H71" s="12"/>
      <c r="P71" s="1"/>
      <c r="Q71" s="40"/>
    </row>
    <row r="72" spans="1:19" x14ac:dyDescent="0.35">
      <c r="A72" s="9" t="s">
        <v>123</v>
      </c>
      <c r="C72" s="10">
        <f>Conversions!O12*1000</f>
        <v>8769.2307692307677</v>
      </c>
      <c r="D72" s="10">
        <f t="shared" si="6"/>
        <v>5699.9999999999991</v>
      </c>
      <c r="E72" s="10"/>
      <c r="F72" s="10"/>
      <c r="H72" s="12"/>
      <c r="P72" s="1"/>
      <c r="Q72" s="40"/>
    </row>
    <row r="73" spans="1:19" x14ac:dyDescent="0.35">
      <c r="A73" s="9" t="s">
        <v>128</v>
      </c>
      <c r="C73" s="10">
        <v>50000</v>
      </c>
      <c r="D73" s="10">
        <f t="shared" si="6"/>
        <v>32500</v>
      </c>
      <c r="E73" s="10"/>
      <c r="F73" s="10"/>
      <c r="H73" s="12"/>
      <c r="P73" s="1"/>
      <c r="Q73" s="40"/>
    </row>
    <row r="74" spans="1:19" x14ac:dyDescent="0.35">
      <c r="A74" s="9" t="s">
        <v>129</v>
      </c>
      <c r="C74" s="10">
        <v>300000</v>
      </c>
      <c r="D74" s="10">
        <f t="shared" si="6"/>
        <v>195000</v>
      </c>
      <c r="E74" s="10"/>
      <c r="F74" s="10"/>
      <c r="H74" s="12"/>
      <c r="P74" s="1"/>
      <c r="Q74" s="40"/>
    </row>
    <row r="75" spans="1:19" x14ac:dyDescent="0.35">
      <c r="A75" s="9" t="s">
        <v>130</v>
      </c>
      <c r="C75" s="10">
        <v>56000</v>
      </c>
      <c r="D75" s="10">
        <f t="shared" si="6"/>
        <v>36400</v>
      </c>
      <c r="E75" s="10"/>
      <c r="F75" s="10"/>
      <c r="H75" s="12"/>
      <c r="P75" s="1"/>
      <c r="Q75" s="40"/>
    </row>
    <row r="76" spans="1:19" x14ac:dyDescent="0.35">
      <c r="A76" s="9" t="s">
        <v>131</v>
      </c>
      <c r="C76" s="10">
        <v>6034</v>
      </c>
      <c r="D76" s="10">
        <f t="shared" si="6"/>
        <v>3922.1</v>
      </c>
      <c r="E76" s="10"/>
      <c r="F76" s="10"/>
      <c r="H76" s="12"/>
      <c r="P76" s="1"/>
      <c r="Q76" s="40"/>
    </row>
    <row r="77" spans="1:19" x14ac:dyDescent="0.35">
      <c r="A77" s="9" t="s">
        <v>137</v>
      </c>
      <c r="C77">
        <v>41557</v>
      </c>
      <c r="D77" s="10">
        <f t="shared" si="6"/>
        <v>27012.05</v>
      </c>
      <c r="E77" s="10"/>
      <c r="F77" s="10"/>
      <c r="H77" s="12"/>
      <c r="P77" s="1"/>
      <c r="Q77" s="40"/>
    </row>
    <row r="78" spans="1:19" x14ac:dyDescent="0.35">
      <c r="A78" s="92" t="s">
        <v>117</v>
      </c>
      <c r="B78" s="213"/>
      <c r="C78" s="214">
        <f>SUM(C68:C77)</f>
        <v>1752170.8881385755</v>
      </c>
      <c r="D78" s="214">
        <f>SUM(D68:D77)</f>
        <v>1079113.1320845948</v>
      </c>
      <c r="E78" s="214"/>
      <c r="F78" s="214"/>
      <c r="G78" s="213"/>
      <c r="H78" s="215"/>
      <c r="P78" s="1"/>
      <c r="Q78" s="40"/>
    </row>
    <row r="79" spans="1:19" ht="14.25" customHeight="1" x14ac:dyDescent="0.35">
      <c r="A79" s="397" t="s">
        <v>132</v>
      </c>
      <c r="B79" s="398"/>
      <c r="H79" s="12"/>
      <c r="P79" s="1"/>
      <c r="Q79" s="40"/>
    </row>
    <row r="80" spans="1:19" x14ac:dyDescent="0.35">
      <c r="A80" s="9" t="s">
        <v>133</v>
      </c>
      <c r="C80" s="10">
        <v>248000</v>
      </c>
      <c r="D80" s="10">
        <f t="shared" ref="D80:D87" si="7">C80*$AE$3</f>
        <v>161200</v>
      </c>
      <c r="E80" s="10"/>
      <c r="F80" s="10"/>
      <c r="H80" s="12"/>
      <c r="P80" s="1"/>
      <c r="Q80" s="40"/>
    </row>
    <row r="81" spans="1:16" x14ac:dyDescent="0.35">
      <c r="A81" s="9" t="s">
        <v>134</v>
      </c>
      <c r="C81" s="10">
        <v>19000</v>
      </c>
      <c r="D81" s="10">
        <f t="shared" si="7"/>
        <v>12350</v>
      </c>
      <c r="E81" s="10"/>
      <c r="F81" s="10"/>
      <c r="H81" s="12"/>
      <c r="P81" s="1"/>
    </row>
    <row r="82" spans="1:16" x14ac:dyDescent="0.35">
      <c r="A82" s="9" t="s">
        <v>135</v>
      </c>
      <c r="C82" s="10">
        <v>1300</v>
      </c>
      <c r="D82" s="10">
        <f t="shared" si="7"/>
        <v>845</v>
      </c>
      <c r="E82" s="10"/>
      <c r="F82" s="10"/>
      <c r="H82" s="12"/>
      <c r="P82" s="1"/>
    </row>
    <row r="83" spans="1:16" x14ac:dyDescent="0.35">
      <c r="A83" s="9" t="s">
        <v>136</v>
      </c>
      <c r="C83" s="10">
        <v>15900</v>
      </c>
      <c r="D83" s="10">
        <f t="shared" si="7"/>
        <v>10335</v>
      </c>
      <c r="E83" s="10"/>
      <c r="F83" s="10"/>
      <c r="H83" s="12"/>
      <c r="P83" s="1"/>
    </row>
    <row r="84" spans="1:16" x14ac:dyDescent="0.35">
      <c r="A84" s="9" t="s">
        <v>141</v>
      </c>
      <c r="C84" s="10">
        <v>1900</v>
      </c>
      <c r="D84" s="10">
        <f t="shared" si="7"/>
        <v>1235</v>
      </c>
      <c r="E84" s="10"/>
      <c r="F84" s="10"/>
      <c r="H84" s="12"/>
      <c r="P84" s="1"/>
    </row>
    <row r="85" spans="1:16" x14ac:dyDescent="0.35">
      <c r="A85" s="9" t="s">
        <v>138</v>
      </c>
      <c r="C85" s="10">
        <v>7500</v>
      </c>
      <c r="D85" s="10">
        <f t="shared" si="7"/>
        <v>4875</v>
      </c>
      <c r="E85" s="10"/>
      <c r="F85" s="10"/>
      <c r="H85" s="12"/>
      <c r="P85" s="1"/>
    </row>
    <row r="86" spans="1:16" x14ac:dyDescent="0.35">
      <c r="A86" s="9" t="s">
        <v>139</v>
      </c>
      <c r="C86" s="10">
        <v>3300</v>
      </c>
      <c r="D86" s="10">
        <f t="shared" si="7"/>
        <v>2145</v>
      </c>
      <c r="E86" s="10"/>
      <c r="F86" s="10"/>
      <c r="H86" s="12"/>
      <c r="P86" s="1"/>
    </row>
    <row r="87" spans="1:16" x14ac:dyDescent="0.35">
      <c r="A87" s="9" t="s">
        <v>140</v>
      </c>
      <c r="C87" s="10">
        <v>5055</v>
      </c>
      <c r="D87" s="10">
        <f t="shared" si="7"/>
        <v>3285.75</v>
      </c>
      <c r="E87" s="10"/>
      <c r="F87" s="10"/>
      <c r="H87" s="12"/>
      <c r="P87" s="1"/>
    </row>
    <row r="88" spans="1:16" x14ac:dyDescent="0.35">
      <c r="A88" s="393" t="s">
        <v>132</v>
      </c>
      <c r="B88" s="394"/>
      <c r="C88" s="216">
        <f>SUM(C80:C87)</f>
        <v>301955</v>
      </c>
      <c r="D88" s="216">
        <f>SUM(D80:D87)</f>
        <v>196270.75</v>
      </c>
      <c r="E88" s="216"/>
      <c r="F88" s="216"/>
      <c r="G88" s="217"/>
      <c r="H88" s="218"/>
      <c r="P88" s="1"/>
    </row>
    <row r="89" spans="1:16" ht="15" thickBot="1" x14ac:dyDescent="0.4">
      <c r="A89" s="20" t="s">
        <v>78</v>
      </c>
      <c r="B89" s="21"/>
      <c r="C89" s="22">
        <f>B89*H89</f>
        <v>0</v>
      </c>
      <c r="D89" s="23"/>
      <c r="E89" s="23"/>
      <c r="F89" s="23"/>
      <c r="G89" s="24"/>
      <c r="H89" s="25">
        <f>H24+H20+H66</f>
        <v>8751.8895533333343</v>
      </c>
    </row>
    <row r="90" spans="1:16" x14ac:dyDescent="0.35"/>
    <row r="91" spans="1:16" x14ac:dyDescent="0.35"/>
    <row r="92" spans="1:16" x14ac:dyDescent="0.35"/>
    <row r="93" spans="1:16" x14ac:dyDescent="0.35"/>
    <row r="94" spans="1:16" x14ac:dyDescent="0.35"/>
    <row r="95" spans="1:16" x14ac:dyDescent="0.35"/>
    <row r="96" spans="1:16" x14ac:dyDescent="0.35"/>
    <row r="97" x14ac:dyDescent="0.35"/>
    <row r="98" x14ac:dyDescent="0.35"/>
    <row r="99" x14ac:dyDescent="0.35"/>
    <row r="100" x14ac:dyDescent="0.35"/>
    <row r="101" x14ac:dyDescent="0.35"/>
    <row r="102" x14ac:dyDescent="0.35"/>
  </sheetData>
  <sortState xmlns:xlrd2="http://schemas.microsoft.com/office/spreadsheetml/2017/richdata2" ref="A26:H65">
    <sortCondition ref="A26:A65"/>
  </sortState>
  <mergeCells count="6">
    <mergeCell ref="G1:G2"/>
    <mergeCell ref="C1:D1"/>
    <mergeCell ref="E1:F1"/>
    <mergeCell ref="A88:B88"/>
    <mergeCell ref="B1:B2"/>
    <mergeCell ref="A79:B79"/>
  </mergeCells>
  <phoneticPr fontId="11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Financials</vt:lpstr>
      <vt:lpstr> TAM &amp; SOM</vt:lpstr>
      <vt:lpstr>M.Shars</vt:lpstr>
      <vt:lpstr>SOM M.Shares &amp; Rev</vt:lpstr>
      <vt:lpstr>M.Shares &amp; Revenue</vt:lpstr>
      <vt:lpstr>Mrkting &amp; BD</vt:lpstr>
      <vt:lpstr>CA&amp;OP-EX</vt:lpstr>
      <vt:lpstr>Aus Market</vt:lpstr>
      <vt:lpstr>Global Market</vt:lpstr>
      <vt:lpstr>Manpower</vt:lpstr>
      <vt:lpstr>ESG</vt:lpstr>
      <vt:lpstr>Conversions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Amr Bebars</cp:lastModifiedBy>
  <dcterms:created xsi:type="dcterms:W3CDTF">2015-06-05T18:17:20Z</dcterms:created>
  <dcterms:modified xsi:type="dcterms:W3CDTF">2025-02-09T17:22:26Z</dcterms:modified>
</cp:coreProperties>
</file>